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11415"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BudgetSummary">'Instructions'!$C$23</definedName>
    <definedName name="CA0191Land">'Page 2'!$E$38</definedName>
    <definedName name="CA0192SiteImprovements">'Page 2'!$E$39</definedName>
    <definedName name="CA0194Buildings">'Page 2'!$E$40</definedName>
    <definedName name="CA0196Equipment">'Page 2'!$E$41</definedName>
    <definedName name="CA0198CIP">'Page 2'!$E$42</definedName>
    <definedName name="CAK3Reading">'Page 2'!$E$45</definedName>
    <definedName name="CapitalAcquisitions">'Instructions'!$C$12</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2'!$E$35</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2'!$N$23</definedName>
    <definedName name="IIPDropoutPreventionPrograms">'Page 2'!$N$24</definedName>
    <definedName name="IIPInstructionalImprovementPrograms">'Page 2'!$N$25</definedName>
    <definedName name="IIPTeacherCompensationIncreases">'Page 2'!$N$22</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'Instructions'!$C$10</definedName>
    <definedName name="Pg1General">'Instructions'!$C$6</definedName>
    <definedName name="Pg1Line37">'Instructions'!$C$9</definedName>
    <definedName name="Pg1Program200">'Instructions'!$C$7</definedName>
    <definedName name="Pg1Program550">'Instructions'!$C$8</definedName>
    <definedName name="Pg2ExpensesByType">'Instructions'!$C$16</definedName>
    <definedName name="Pg2InstructionalImprovementProj">'Instructions'!$C$18</definedName>
    <definedName name="Pg2Line1">'Instructions'!$C$14</definedName>
    <definedName name="Pg2Line8">'Instructions'!$C$15</definedName>
    <definedName name="Pg2Lines3and4">'Instructions'!$C$19</definedName>
    <definedName name="Pg2SpecialEd">'Instructions'!$C$13</definedName>
    <definedName name="Pg2StateEqualAssist">'Instructions'!$C$17</definedName>
    <definedName name="Pg3ClassroomSiteProj">'Instructions'!$C$20</definedName>
    <definedName name="Pg4CompensatoryInstructionProj">'Instructions'!$C$22</definedName>
    <definedName name="Pg4StructuredEnglishImmersionProj">'Instructions'!$C$21</definedName>
    <definedName name="_xlnm.Print_Area" localSheetId="5">'Budget Summary'!$A$1:$M$47</definedName>
    <definedName name="_xlnm.Print_Area" localSheetId="0">'Cover'!$A$1:$R$42</definedName>
    <definedName name="_xlnm.Print_Area" localSheetId="1">'Page 1'!$A$1:$N$50</definedName>
    <definedName name="_xlnm.Print_Area" localSheetId="2">'Page 2'!$A$1:$O$45</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2'!$E$31</definedName>
    <definedName name="SP1465CharterSchool">'Page 2'!$E$32</definedName>
    <definedName name="SP14701499Other">'Page 2'!$E$33</definedName>
    <definedName name="TotalCapitalAcquisitions">'Page 2'!$E$43</definedName>
    <definedName name="TotalCapitalAcquisitionsCY">'Page 2'!$D$43</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'Instructions'!$C$11</definedName>
    <definedName name="TotalFederalProjects">'Page 2'!$E$22</definedName>
    <definedName name="TotalFederalProjectsCY">'Page 2'!$D$22</definedName>
    <definedName name="TotalInstructionalImprovement">'Page 2'!$N$26</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2'!$E$34</definedName>
    <definedName name="TotalStateProjectsCY">'Page 2'!$D$34</definedName>
    <definedName name="Version">'Instructions'!$C$4</definedName>
  </definedNames>
  <calcPr fullCalcOnLoad="1" fullPrecision="0"/>
</workbook>
</file>

<file path=xl/sharedStrings.xml><?xml version="1.0" encoding="utf-8"?>
<sst xmlns="http://schemas.openxmlformats.org/spreadsheetml/2006/main" count="512" uniqueCount="310">
  <si>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</si>
  <si>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</si>
  <si>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</si>
  <si>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</si>
  <si>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</si>
  <si>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</si>
  <si>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</si>
  <si>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</si>
  <si>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</si>
  <si>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</si>
  <si>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</si>
  <si>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</si>
  <si>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</si>
  <si>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</si>
  <si>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</si>
  <si>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</si>
  <si>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</si>
  <si>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</si>
  <si>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</si>
  <si>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</si>
  <si>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</si>
  <si>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</si>
  <si>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</si>
  <si>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</si>
  <si>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</si>
  <si>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</si>
  <si>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</si>
  <si>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</si>
  <si>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</si>
  <si>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</si>
  <si>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</si>
  <si>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</si>
  <si>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</si>
  <si>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</si>
  <si>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</si>
  <si>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</si>
  <si>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</si>
  <si>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</si>
  <si>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</si>
  <si>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</si>
  <si>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</si>
  <si>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</si>
  <si>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</si>
  <si>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</si>
  <si>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</si>
  <si>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</si>
  <si>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</si>
  <si>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</si>
  <si>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</si>
  <si>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</si>
  <si>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</si>
  <si>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</si>
  <si>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</si>
  <si>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</si>
  <si>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</si>
  <si>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</si>
  <si>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</si>
  <si>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</si>
  <si>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</si>
  <si>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</si>
  <si>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</si>
  <si>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</si>
  <si>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</si>
  <si>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</si>
  <si>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</si>
  <si>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</si>
  <si>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</si>
  <si>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</si>
  <si>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</si>
  <si>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</si>
  <si>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</si>
  <si>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</si>
  <si>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</si>
  <si>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</si>
  <si>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</si>
  <si>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</si>
  <si>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</si>
  <si>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</si>
  <si>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</si>
  <si>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</si>
  <si>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</si>
  <si>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</si>
  <si>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</si>
  <si>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</si>
  <si>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</si>
  <si>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</si>
  <si>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</si>
  <si>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</si>
  <si>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</si>
  <si>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</si>
  <si>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</si>
  <si>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</si>
  <si>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</si>
  <si>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</si>
  <si>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</si>
  <si>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</si>
  <si>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</si>
  <si>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</si>
  <si>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</si>
  <si>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</si>
  <si>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</si>
  <si>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</si>
  <si>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</si>
  <si>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</si>
  <si>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</si>
  <si>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</si>
  <si>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</si>
  <si>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</si>
  <si>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</si>
  <si>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</si>
  <si>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</si>
  <si>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</si>
  <si>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</si>
  <si>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</si>
  <si>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</si>
  <si>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</si>
  <si>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</si>
  <si>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</si>
  <si>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</si>
  <si>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</si>
  <si>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</si>
  <si>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</si>
  <si>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</si>
  <si>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</si>
  <si>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</si>
  <si>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</si>
  <si>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</si>
  <si>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</si>
  <si>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</si>
  <si>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</si>
  <si>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</si>
  <si>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</si>
  <si>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</si>
  <si>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</si>
  <si>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</si>
  <si>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</si>
  <si>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</si>
  <si>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</si>
  <si>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</si>
  <si>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</si>
  <si>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</si>
  <si>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</si>
  <si>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</si>
  <si>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</si>
  <si>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</si>
  <si>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</si>
  <si>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</si>
  <si>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</si>
  <si>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</si>
  <si>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</si>
  <si>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</si>
  <si>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</si>
  <si>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</si>
  <si>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</si>
  <si>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</si>
  <si>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</si>
  <si>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</si>
  <si>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</si>
  <si>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</si>
  <si>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</si>
  <si>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</si>
  <si>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</si>
  <si>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</si>
  <si>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</si>
  <si>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</si>
  <si>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</si>
  <si>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</si>
  <si>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</si>
  <si>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</si>
  <si>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</si>
  <si>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</si>
  <si>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</si>
  <si>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</si>
  <si>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</si>
  <si>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</si>
  <si>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</si>
  <si>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</si>
  <si>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</si>
  <si>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</si>
  <si>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</si>
  <si>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</si>
  <si>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</si>
  <si>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</si>
  <si>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</si>
  <si>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</si>
  <si>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</si>
  <si>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</si>
  <si>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</si>
  <si>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</si>
  <si>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</si>
  <si>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</si>
  <si>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</si>
  <si>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</si>
  <si>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</si>
  <si>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</si>
  <si>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</si>
  <si>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</si>
  <si>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</si>
  <si>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</si>
  <si>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</si>
  <si>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</si>
  <si>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</si>
  <si>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</si>
  <si>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</si>
  <si>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</si>
  <si>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</si>
  <si>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</si>
  <si>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</si>
  <si>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</si>
  <si>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</si>
  <si>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</si>
  <si>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</si>
  <si>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</si>
  <si>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</si>
  <si>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</si>
  <si>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</si>
  <si>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</si>
  <si>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</si>
  <si>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</si>
  <si>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Federal and State Projects (from page 2, line 30)</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</si>
  <si>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</si>
  <si>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</si>
  <si>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</si>
  <si>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</si>
  <si>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</si>
  <si>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</si>
  <si>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</si>
  <si>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</si>
  <si>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</si>
  <si>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</si>
  <si>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</si>
  <si>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</si>
  <si>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</si>
  <si>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</si>
  <si>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</si>
  <si>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</si>
  <si>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</si>
  <si>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</si>
  <si>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</si>
  <si>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</si>
  <si>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</si>
  <si>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</si>
  <si>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</si>
  <si>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</si>
  <si>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</si>
  <si>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</si>
  <si>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</si>
  <si>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</si>
  <si>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</si>
  <si>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</si>
  <si>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</si>
  <si>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</si>
  <si>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</si>
  <si>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</si>
  <si>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</si>
  <si>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</si>
  <si>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FY 2017</t>
  </si>
  <si>
    <t>We hereby certify that the Budget for the School Year 2017 was</t>
  </si>
  <si>
    <t>TOTAL BUDGETED REVENUES FOR FISCAL YEAR 2016</t>
  </si>
  <si>
    <t>ESTIMATED REVENUES BY SOURCE FOR FISCAL YEAR 2017</t>
  </si>
  <si>
    <t xml:space="preserve">The budget file(s) for FY 2017 sent to the Arizona Department of Education on </t>
  </si>
  <si>
    <t>Prior Year 2016</t>
  </si>
  <si>
    <t>Budget Year 2017</t>
  </si>
  <si>
    <t>Program 200 Prior Year 2016</t>
  </si>
  <si>
    <t>Program 200 Budget Year 2017</t>
  </si>
  <si>
    <t>Prior Year  2016</t>
  </si>
  <si>
    <t>FY 2017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</si>
  <si>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2016 budget forms. However, the cells have not been protected so users may also enter the information manually. To bring forward amounts automatically, the most recently revised FY 2016 budget must be saved as budget16.xls in the C:\CSFORMS folder. If the file is not named budget16.xls, the formulas will not function properly. Excel will ask the user to update information when the budget17.xls file is opened. Users should review amounts reported in the prior year column to ensure they agree to the school’s most recently revised FY 2016 budget.</t>
  </si>
  <si>
    <t>Estimated revenues by source for FY 2017 should be based on the best information available at the time the budget is prepared. Estimated revenues may be more or less than estimated expenses.</t>
  </si>
  <si>
    <t>Charter 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2017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</si>
  <si>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Schools participating in the Arizona State Retirement System should budget in object code 6200 at the rate of 11.34% for retirement contributions and 0.14% for long term disability contributions for covered positions. For positions subject to the Alternative Contribution Rate, schools should budget at the rate of 9.47%.</t>
  </si>
  <si>
    <t>School Official (Typed Name)</t>
  </si>
  <si>
    <t>Total Federal Projects (lines 1-17)</t>
  </si>
  <si>
    <t>Total State Projects (lines 19-28)</t>
  </si>
  <si>
    <t>Total Federal and State Projects (lines 18 and 29)</t>
  </si>
  <si>
    <t>13__  Impact Aid</t>
  </si>
  <si>
    <t xml:space="preserve">Charter schools receive revenues from the Classroom Site Fund each year. A.R.S. §15-977(G)(1) requires the Joint Legislative Budget Committee to calculate an estimated per pupil amount each year. For FY 2017 the estimated cash payment is $332.00 per “Group A weighted” pupil (Total of Work sheet B, line I.A.4 and Work sheet B.2 lines I.A.3 and III.A.3).
See USFRCS page III-B-1 and USFRCS Memorandum No. 44 for additional guidance on the use of Classroom Site Project monies.
</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</si>
  <si>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</si>
  <si>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</si>
  <si>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</si>
  <si>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</si>
  <si>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</si>
  <si>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</si>
  <si>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</si>
  <si>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</si>
  <si>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</si>
  <si>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</si>
  <si>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</si>
  <si>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</si>
  <si>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</si>
  <si>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</si>
  <si>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</si>
  <si>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The Student Success Project was repealed by Laws 2015, Ch. 15, </t>
    </r>
    <r>
      <rPr>
        <sz val="10"/>
        <rFont val="Calibri"/>
        <family val="2"/>
      </rPr>
      <t>§</t>
    </r>
    <r>
      <rPr>
        <sz val="10"/>
        <rFont val="Arial"/>
        <family val="2"/>
      </rPr>
      <t xml:space="preserve">5. If schools have remaining monies in this project, they should be budgeted for in the Schoolwide Project.
</t>
    </r>
  </si>
  <si>
    <r>
      <t xml:space="preserve">Schools should budget for K-3 Reading Program expenses in program code 550.  Schools that are assigned a letter grade of C, D, or F, in accordance with A.R.S. </t>
    </r>
    <r>
      <rPr>
        <sz val="10"/>
        <rFont val="Calibri"/>
        <family val="2"/>
      </rPr>
      <t>§</t>
    </r>
    <r>
      <rPr>
        <sz val="10"/>
        <rFont val="Arial"/>
        <family val="2"/>
      </rPr>
      <t>15-241 and Laws 2015, Ch. 76, §1, or that have more than 10% of their 3rd grade pupils reading far below the 3rd grade level according to the reading portion of the AIMS test, or a successor test, are not eligible to receive K-3 Reading monies until the school's K-3 Reading Program Plan has been approved by the State Board of Education. A.R.S. §15-211</t>
    </r>
  </si>
  <si>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</si>
  <si>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</si>
  <si>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</si>
  <si>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</si>
  <si>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</si>
  <si>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</si>
  <si>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Separate accountability is required for each federal and state project. Therefore, charter schools should estimate the expenses for each federal or state project in which the school participates. The totals on line 30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</si>
  <si>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</si>
  <si>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</si>
  <si>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</si>
  <si>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James Sandoval Preparatory High School</t>
  </si>
  <si>
    <t>Maricopa</t>
  </si>
  <si>
    <t>078928000</t>
  </si>
  <si>
    <t>Steve Durand</t>
  </si>
  <si>
    <t>623-204-4700</t>
  </si>
  <si>
    <t>Jeff Sawner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</si>
</sst>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0">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name val="Calibri"/>
      <family val="2"/>
    </font>
    <font>
      <sz val="10"/>
      <color indexed="12"/>
      <name val="Arial"/>
      <family val="2"/>
    </font>
    <font>
      <b/>
      <sz val="10"/>
      <color indexed="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color indexed="8"/>
      </top>
      <bottom style="thin"/>
    </border>
    <border>
      <left>
        <color indexed="63"/>
      </left>
      <right>
        <color indexed="63"/>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81">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0" xfId="0" applyFont="1" applyFill="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3" fillId="0" borderId="0" xfId="0" applyFont="1" applyFill="1" applyBorder="1" applyAlignment="1">
      <alignment/>
    </xf>
    <xf numFmtId="0" fontId="53" fillId="0" borderId="0" xfId="0" applyFont="1" applyFill="1" applyBorder="1" applyAlignment="1">
      <alignment horizontal="left"/>
    </xf>
    <xf numFmtId="0" fontId="53" fillId="0" borderId="12" xfId="0" applyFont="1" applyFill="1" applyBorder="1" applyAlignment="1">
      <alignment/>
    </xf>
    <xf numFmtId="0" fontId="53" fillId="0" borderId="13" xfId="0" applyFont="1" applyFill="1" applyBorder="1" applyAlignment="1">
      <alignment horizontal="center"/>
    </xf>
    <xf numFmtId="38" fontId="53" fillId="0" borderId="14" xfId="0" applyNumberFormat="1" applyFont="1" applyFill="1" applyBorder="1" applyAlignment="1" applyProtection="1">
      <alignment/>
      <protection/>
    </xf>
    <xf numFmtId="38" fontId="53" fillId="0" borderId="13" xfId="0" applyNumberFormat="1" applyFont="1" applyFill="1" applyBorder="1" applyAlignment="1" applyProtection="1">
      <alignment/>
      <protection/>
    </xf>
    <xf numFmtId="0" fontId="53" fillId="0" borderId="21" xfId="0" applyFont="1" applyFill="1" applyBorder="1" applyAlignment="1" applyProtection="1">
      <alignment/>
      <protection/>
    </xf>
    <xf numFmtId="38" fontId="53" fillId="0" borderId="13" xfId="0" applyNumberFormat="1" applyFont="1" applyFill="1" applyBorder="1" applyAlignment="1" applyProtection="1">
      <alignment/>
      <protection/>
    </xf>
    <xf numFmtId="0" fontId="53" fillId="0" borderId="17" xfId="0" applyFont="1" applyFill="1" applyBorder="1" applyAlignment="1">
      <alignment/>
    </xf>
    <xf numFmtId="38" fontId="53" fillId="0" borderId="23" xfId="0" applyNumberFormat="1" applyFont="1" applyFill="1" applyBorder="1" applyAlignment="1" applyProtection="1">
      <alignment/>
      <protection/>
    </xf>
    <xf numFmtId="0" fontId="53" fillId="0" borderId="21" xfId="0" applyFont="1" applyFill="1" applyBorder="1" applyAlignment="1" applyProtection="1">
      <alignment/>
      <protection/>
    </xf>
    <xf numFmtId="0" fontId="53" fillId="0" borderId="24" xfId="0" applyFont="1" applyFill="1" applyBorder="1" applyAlignment="1">
      <alignment/>
    </xf>
    <xf numFmtId="0" fontId="53" fillId="0" borderId="16" xfId="0" applyFont="1" applyFill="1" applyBorder="1" applyAlignment="1">
      <alignment/>
    </xf>
    <xf numFmtId="0" fontId="53" fillId="0" borderId="0" xfId="0" applyFont="1" applyFill="1" applyBorder="1" applyAlignment="1">
      <alignment horizontal="right"/>
    </xf>
    <xf numFmtId="0" fontId="53" fillId="0" borderId="21" xfId="0" applyFont="1" applyFill="1" applyBorder="1" applyAlignment="1">
      <alignment horizontal="center"/>
    </xf>
    <xf numFmtId="0" fontId="53" fillId="0" borderId="23" xfId="0" applyFont="1" applyFill="1" applyBorder="1" applyAlignment="1">
      <alignment horizontal="center"/>
    </xf>
    <xf numFmtId="0" fontId="53" fillId="0" borderId="0" xfId="0" applyFont="1" applyFill="1" applyBorder="1" applyAlignment="1" applyProtection="1">
      <alignment/>
      <protection/>
    </xf>
    <xf numFmtId="38" fontId="53" fillId="0" borderId="21" xfId="0" applyNumberFormat="1" applyFont="1" applyFill="1" applyBorder="1" applyAlignment="1" applyProtection="1">
      <alignment/>
      <protection/>
    </xf>
    <xf numFmtId="0" fontId="53" fillId="0" borderId="0" xfId="0" applyFont="1" applyFill="1" applyBorder="1" applyAlignment="1" applyProtection="1">
      <alignment vertical="center" wrapText="1"/>
      <protection/>
    </xf>
    <xf numFmtId="0" fontId="54" fillId="0" borderId="0" xfId="0" applyFont="1" applyFill="1" applyBorder="1" applyAlignment="1">
      <alignment/>
    </xf>
    <xf numFmtId="0" fontId="54" fillId="0" borderId="10" xfId="0" applyFont="1" applyFill="1" applyBorder="1" applyAlignment="1">
      <alignment/>
    </xf>
    <xf numFmtId="0" fontId="53" fillId="0" borderId="20" xfId="0" applyFont="1" applyFill="1" applyBorder="1" applyAlignment="1">
      <alignment/>
    </xf>
    <xf numFmtId="0" fontId="53" fillId="0" borderId="11" xfId="0" applyFont="1" applyFill="1" applyBorder="1" applyAlignment="1">
      <alignment/>
    </xf>
    <xf numFmtId="0" fontId="53" fillId="0" borderId="15" xfId="0" applyFont="1" applyFill="1" applyBorder="1" applyAlignment="1">
      <alignment horizontal="center"/>
    </xf>
    <xf numFmtId="0" fontId="53"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3"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3" fillId="0" borderId="19" xfId="0" applyFont="1" applyFill="1" applyBorder="1" applyAlignment="1">
      <alignment/>
    </xf>
    <xf numFmtId="0" fontId="53" fillId="0" borderId="10" xfId="0" applyFont="1" applyFill="1" applyBorder="1" applyAlignment="1">
      <alignment/>
    </xf>
    <xf numFmtId="0" fontId="53" fillId="0" borderId="18" xfId="0" applyFont="1" applyFill="1" applyBorder="1" applyAlignment="1">
      <alignment/>
    </xf>
    <xf numFmtId="0" fontId="54" fillId="0" borderId="11" xfId="0" applyFont="1" applyFill="1" applyBorder="1" applyAlignment="1">
      <alignment horizontal="left"/>
    </xf>
    <xf numFmtId="0" fontId="54" fillId="0" borderId="22" xfId="0" applyFont="1" applyFill="1" applyBorder="1" applyAlignment="1">
      <alignment horizontal="left"/>
    </xf>
    <xf numFmtId="0" fontId="53" fillId="0" borderId="11" xfId="0" applyFont="1" applyFill="1" applyBorder="1" applyAlignment="1">
      <alignment horizontal="left"/>
    </xf>
    <xf numFmtId="0" fontId="54" fillId="0" borderId="11" xfId="0" applyFont="1" applyFill="1" applyBorder="1" applyAlignment="1">
      <alignment/>
    </xf>
    <xf numFmtId="0" fontId="54" fillId="0" borderId="0" xfId="0" applyFont="1" applyFill="1" applyBorder="1" applyAlignment="1">
      <alignment horizontal="left"/>
    </xf>
    <xf numFmtId="0" fontId="53" fillId="0" borderId="15" xfId="0" applyFont="1" applyFill="1" applyBorder="1" applyAlignment="1">
      <alignment/>
    </xf>
    <xf numFmtId="0" fontId="54"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3" fillId="0" borderId="22" xfId="0" applyNumberFormat="1" applyFont="1" applyFill="1" applyBorder="1" applyAlignment="1" applyProtection="1">
      <alignment/>
      <protection/>
    </xf>
    <xf numFmtId="0" fontId="53" fillId="0" borderId="10" xfId="0" applyFont="1" applyFill="1" applyBorder="1" applyAlignment="1" applyProtection="1">
      <alignment/>
      <protection/>
    </xf>
    <xf numFmtId="0" fontId="53" fillId="0" borderId="21" xfId="0" applyFont="1" applyFill="1" applyBorder="1" applyAlignment="1">
      <alignment/>
    </xf>
    <xf numFmtId="38" fontId="53"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5" fillId="0" borderId="0" xfId="53" applyFont="1" applyFill="1" applyAlignment="1" applyProtection="1">
      <alignment horizontal="centerContinuous"/>
      <protection/>
    </xf>
    <xf numFmtId="0" fontId="0" fillId="0" borderId="11" xfId="0" applyFill="1" applyBorder="1" applyAlignment="1" applyProtection="1">
      <alignment/>
      <protection/>
    </xf>
    <xf numFmtId="0" fontId="56"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7" fillId="0" borderId="0" xfId="0" applyFont="1" applyFill="1" applyAlignment="1" applyProtection="1">
      <alignment/>
      <protection/>
    </xf>
    <xf numFmtId="0" fontId="57" fillId="0" borderId="0" xfId="0" applyFont="1" applyFill="1" applyBorder="1" applyAlignment="1" applyProtection="1">
      <alignment/>
      <protection/>
    </xf>
    <xf numFmtId="0" fontId="57"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5" fillId="34" borderId="20" xfId="53" applyFont="1" applyFill="1" applyBorder="1" applyAlignment="1" applyProtection="1">
      <alignment/>
      <protection/>
    </xf>
    <xf numFmtId="0" fontId="55" fillId="34" borderId="0" xfId="53" applyFont="1" applyFill="1" applyBorder="1" applyAlignment="1" applyProtection="1">
      <alignment/>
      <protection/>
    </xf>
    <xf numFmtId="0" fontId="56" fillId="34" borderId="0" xfId="53" applyFont="1" applyFill="1" applyAlignment="1" applyProtection="1">
      <alignment/>
      <protection/>
    </xf>
    <xf numFmtId="0" fontId="56" fillId="34" borderId="0" xfId="53" applyFont="1" applyFill="1" applyAlignment="1" applyProtection="1">
      <alignment horizontal="centerContinuous"/>
      <protection/>
    </xf>
    <xf numFmtId="0" fontId="55"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8" fillId="0" borderId="0" xfId="53" applyFont="1" applyFill="1" applyAlignment="1" applyProtection="1">
      <alignment horizontal="center" vertical="top"/>
      <protection/>
    </xf>
    <xf numFmtId="0" fontId="58" fillId="34" borderId="23" xfId="53" applyFont="1" applyFill="1" applyBorder="1" applyAlignment="1" applyProtection="1">
      <alignment horizontal="center"/>
      <protection/>
    </xf>
    <xf numFmtId="0" fontId="58" fillId="34" borderId="12" xfId="53" applyFont="1" applyFill="1" applyBorder="1" applyAlignment="1" applyProtection="1">
      <alignment/>
      <protection/>
    </xf>
    <xf numFmtId="0" fontId="59" fillId="34" borderId="0" xfId="53" applyFont="1" applyFill="1" applyAlignment="1" applyProtection="1">
      <alignment horizontal="centerContinuous"/>
      <protection/>
    </xf>
    <xf numFmtId="0" fontId="59" fillId="34" borderId="0" xfId="53" applyFont="1" applyFill="1" applyAlignment="1" applyProtection="1">
      <alignment horizontal="left" vertical="center"/>
      <protection/>
    </xf>
    <xf numFmtId="0" fontId="58" fillId="34" borderId="11" xfId="53" applyFont="1" applyFill="1" applyBorder="1" applyAlignment="1" applyProtection="1">
      <alignment/>
      <protection/>
    </xf>
    <xf numFmtId="0" fontId="58" fillId="34" borderId="10" xfId="53" applyFont="1" applyFill="1" applyBorder="1" applyAlignment="1" applyProtection="1">
      <alignment/>
      <protection/>
    </xf>
    <xf numFmtId="164" fontId="0" fillId="0" borderId="16" xfId="0" applyNumberFormat="1" applyBorder="1" applyAlignment="1">
      <alignment/>
    </xf>
    <xf numFmtId="0" fontId="58" fillId="34" borderId="0" xfId="53" applyFont="1" applyFill="1" applyAlignment="1" applyProtection="1">
      <alignment vertical="center"/>
      <protection/>
    </xf>
    <xf numFmtId="164" fontId="0" fillId="0" borderId="0" xfId="0" applyNumberFormat="1" applyAlignment="1">
      <alignment/>
    </xf>
    <xf numFmtId="0" fontId="59"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3"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8"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3"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8"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8"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3" fillId="0" borderId="0" xfId="0" applyFont="1" applyFill="1" applyBorder="1" applyAlignment="1">
      <alignment horizontal="center"/>
    </xf>
    <xf numFmtId="0" fontId="54"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8" fillId="34" borderId="20" xfId="53" applyFont="1" applyFill="1" applyBorder="1" applyAlignment="1" applyProtection="1">
      <alignment/>
      <protection/>
    </xf>
    <xf numFmtId="38" fontId="0" fillId="0" borderId="21" xfId="0" applyNumberFormat="1" applyFill="1" applyBorder="1" applyAlignment="1" applyProtection="1">
      <alignment vertical="center"/>
      <protection/>
    </xf>
    <xf numFmtId="38"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ill="1" applyAlignment="1" applyProtection="1">
      <alignment horizontal="left"/>
      <protection/>
    </xf>
    <xf numFmtId="0" fontId="0" fillId="0" borderId="12" xfId="0" applyFill="1" applyBorder="1" applyAlignment="1" applyProtection="1">
      <alignment horizontal="center"/>
      <protection locked="0"/>
    </xf>
    <xf numFmtId="0" fontId="0" fillId="0" borderId="12" xfId="0" applyFill="1" applyBorder="1" applyAlignment="1" applyProtection="1">
      <alignment/>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left"/>
      <protection locked="0"/>
    </xf>
    <xf numFmtId="0" fontId="13"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12" fillId="34" borderId="0" xfId="53" applyFont="1" applyFill="1" applyBorder="1" applyAlignment="1" applyProtection="1">
      <alignment horizontal="center"/>
      <protection/>
    </xf>
    <xf numFmtId="0" fontId="12" fillId="34" borderId="20" xfId="53" applyFont="1"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30" xfId="0" applyFill="1" applyBorder="1" applyAlignment="1" applyProtection="1">
      <alignment/>
      <protection locked="0"/>
    </xf>
    <xf numFmtId="0" fontId="0" fillId="0" borderId="20" xfId="0" applyFont="1" applyFill="1" applyBorder="1" applyAlignment="1" applyProtection="1">
      <alignment horizontal="center"/>
      <protection/>
    </xf>
    <xf numFmtId="0" fontId="12"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31"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0" xfId="0" applyFont="1" applyFill="1" applyAlignment="1">
      <alignment horizontal="left"/>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4"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3" fillId="0" borderId="19" xfId="0" applyNumberFormat="1" applyFont="1" applyFill="1" applyBorder="1" applyAlignment="1" applyProtection="1">
      <alignment horizontal="center"/>
      <protection/>
    </xf>
    <xf numFmtId="38" fontId="53" fillId="0" borderId="16" xfId="0" applyNumberFormat="1" applyFont="1" applyFill="1" applyBorder="1" applyAlignment="1" applyProtection="1">
      <alignment horizontal="center"/>
      <protection/>
    </xf>
    <xf numFmtId="0" fontId="54" fillId="0" borderId="0" xfId="0" applyFont="1" applyFill="1" applyBorder="1" applyAlignment="1">
      <alignment horizontal="center"/>
    </xf>
    <xf numFmtId="0" fontId="53" fillId="0" borderId="10" xfId="0" applyFont="1" applyFill="1" applyBorder="1" applyAlignment="1" applyProtection="1">
      <alignment horizontal="center" vertical="center" wrapText="1"/>
      <protection/>
    </xf>
    <xf numFmtId="0" fontId="53" fillId="0" borderId="20" xfId="0" applyFont="1" applyFill="1" applyBorder="1" applyAlignment="1" applyProtection="1">
      <alignment horizontal="center" vertical="center" wrapText="1"/>
      <protection/>
    </xf>
    <xf numFmtId="0" fontId="53" fillId="0" borderId="18" xfId="0" applyFont="1" applyFill="1" applyBorder="1" applyAlignment="1" applyProtection="1">
      <alignment horizontal="center" vertical="center" wrapText="1"/>
      <protection/>
    </xf>
    <xf numFmtId="0" fontId="53" fillId="0" borderId="11"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0" fontId="53" fillId="0" borderId="15" xfId="0" applyFont="1" applyFill="1" applyBorder="1" applyAlignment="1" applyProtection="1">
      <alignment horizontal="center" vertical="center" wrapText="1"/>
      <protection/>
    </xf>
    <xf numFmtId="0" fontId="53" fillId="0" borderId="22" xfId="0" applyFont="1" applyFill="1" applyBorder="1" applyAlignment="1" applyProtection="1">
      <alignment horizontal="center" vertical="center" wrapText="1"/>
      <protection/>
    </xf>
    <xf numFmtId="0" fontId="53" fillId="0" borderId="12"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wrapText="1"/>
      <protection/>
    </xf>
    <xf numFmtId="0" fontId="53" fillId="0" borderId="10" xfId="0" applyFont="1" applyFill="1" applyBorder="1" applyAlignment="1">
      <alignment horizontal="center"/>
    </xf>
    <xf numFmtId="0" fontId="53" fillId="0" borderId="18" xfId="0" applyFont="1" applyFill="1" applyBorder="1" applyAlignment="1">
      <alignment horizontal="center"/>
    </xf>
    <xf numFmtId="0" fontId="53" fillId="0" borderId="19" xfId="0" applyFont="1" applyFill="1" applyBorder="1" applyAlignment="1">
      <alignment horizontal="center"/>
    </xf>
    <xf numFmtId="0" fontId="53" fillId="0" borderId="16" xfId="0" applyFont="1" applyFill="1" applyBorder="1" applyAlignment="1">
      <alignment horizontal="center"/>
    </xf>
    <xf numFmtId="0" fontId="53" fillId="0" borderId="22" xfId="0" applyFont="1" applyFill="1" applyBorder="1" applyAlignment="1">
      <alignment horizontal="left"/>
    </xf>
    <xf numFmtId="0" fontId="53" fillId="0" borderId="12" xfId="0" applyFont="1" applyFill="1" applyBorder="1" applyAlignment="1">
      <alignment horizontal="left"/>
    </xf>
    <xf numFmtId="0" fontId="54" fillId="0" borderId="19" xfId="0" applyFont="1" applyFill="1" applyBorder="1" applyAlignment="1">
      <alignment horizontal="center"/>
    </xf>
    <xf numFmtId="0" fontId="54" fillId="0" borderId="24" xfId="0" applyFont="1" applyFill="1" applyBorder="1" applyAlignment="1">
      <alignment horizontal="center"/>
    </xf>
    <xf numFmtId="0" fontId="54"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76200</xdr:rowOff>
    </xdr:from>
    <xdr:to>
      <xdr:col>4</xdr:col>
      <xdr:colOff>152400</xdr:colOff>
      <xdr:row>4</xdr:row>
      <xdr:rowOff>76200</xdr:rowOff>
    </xdr:to>
    <xdr:sp>
      <xdr:nvSpPr>
        <xdr:cNvPr id="1" name="Rectangle 4">
          <a:hlinkClick r:id="rId1"/>
        </xdr:cNvPr>
        <xdr:cNvSpPr>
          <a:spLocks/>
        </xdr:cNvSpPr>
      </xdr:nvSpPr>
      <xdr:spPr>
        <a:xfrm>
          <a:off x="2571750" y="276225"/>
          <a:ext cx="971550"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2</xdr:col>
      <xdr:colOff>19050</xdr:colOff>
      <xdr:row>3</xdr:row>
      <xdr:rowOff>180975</xdr:rowOff>
    </xdr:to>
    <xdr:sp>
      <xdr:nvSpPr>
        <xdr:cNvPr id="1" name="Rectangle 7">
          <a:hlinkClick r:id="rId1"/>
        </xdr:cNvPr>
        <xdr:cNvSpPr>
          <a:spLocks/>
        </xdr:cNvSpPr>
      </xdr:nvSpPr>
      <xdr:spPr>
        <a:xfrm>
          <a:off x="257175" y="419100"/>
          <a:ext cx="981075" cy="1809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xdr:row>
      <xdr:rowOff>57150</xdr:rowOff>
    </xdr:from>
    <xdr:to>
      <xdr:col>4</xdr:col>
      <xdr:colOff>219075</xdr:colOff>
      <xdr:row>5</xdr:row>
      <xdr:rowOff>19050</xdr:rowOff>
    </xdr:to>
    <xdr:sp>
      <xdr:nvSpPr>
        <xdr:cNvPr id="1" name="Rectangle 5">
          <a:hlinkClick r:id="rId1"/>
        </xdr:cNvPr>
        <xdr:cNvSpPr>
          <a:spLocks/>
        </xdr:cNvSpPr>
      </xdr:nvSpPr>
      <xdr:spPr>
        <a:xfrm>
          <a:off x="2314575"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28575</xdr:rowOff>
    </xdr:from>
    <xdr:to>
      <xdr:col>2</xdr:col>
      <xdr:colOff>1000125</xdr:colOff>
      <xdr:row>1</xdr:row>
      <xdr:rowOff>38100</xdr:rowOff>
    </xdr:to>
    <xdr:sp>
      <xdr:nvSpPr>
        <xdr:cNvPr id="1" name="Rectangle 2">
          <a:hlinkClick r:id="rId1"/>
        </xdr:cNvPr>
        <xdr:cNvSpPr>
          <a:spLocks/>
        </xdr:cNvSpPr>
      </xdr:nvSpPr>
      <xdr:spPr>
        <a:xfrm>
          <a:off x="209550" y="28575"/>
          <a:ext cx="10001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ristin\AppData\Local\Temp\Temp1_CSBUD17_0.zip\budget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Budget Summary"/>
      <sheetName val="Instructions"/>
      <sheetName val="budget16"/>
      <sheetName val="Page2"/>
    </sheetNames>
    <definedNames>
      <definedName name="CIP1072P265F1000" refersTo="=Page 5!$N$30"/>
      <definedName name="CIP1072P265F2100" refersTo="=Page 5!$N$32"/>
      <definedName name="CIP1072P265F2200" refersTo="=Page 5!$N$33"/>
      <definedName name="CIP1072P265F2300" refersTo="=Page 5!$N$34"/>
      <definedName name="CIP1072P265F2400" refersTo="=Page 5!$N$35"/>
      <definedName name="CIP1072P265F2500" refersTo="=Page 5!$N$36"/>
      <definedName name="CIP1072P265F2600" refersTo="=Page 5!$N$37"/>
      <definedName name="CIP1072P265F2900" refersTo="=Page 5!$N$38"/>
      <definedName name="CIP1072P435F2700" refersTo="=Page 5!$N$42"/>
      <definedName name="SEIP1071P260F1000" refersTo="=Page 5!$N$9"/>
      <definedName name="SEIP1071P260F2100" refersTo="=Page 5!$N$11"/>
      <definedName name="SEIP1071P260F2200" refersTo="=Page 5!$N$12"/>
      <definedName name="SEIP1071P260F2300" refersTo="=Page 5!$N$13"/>
      <definedName name="SEIP1071P260F2400" refersTo="=Page 5!$N$14"/>
      <definedName name="SEIP1071P260F2500" refersTo="=Page 5!$N$15"/>
      <definedName name="SEIP1071P260F2600" refersTo="=Page 5!$N$16"/>
      <definedName name="SEIP1071P260F2900" refersTo="=Page 5!$N$17"/>
      <definedName name="SEIP1071P430F2700" refersTo="=Page 5!$N$21"/>
      <definedName name="SP1000CompInstrProj" refersTo="=Page 1!$L$47"/>
      <definedName name="SP1000StruEngImmProj" refersTo="=Page 1!$L$46"/>
      <definedName name="TotalSEIP" refersTo="=Page 5!$N$22"/>
    </definedNames>
    <sheetDataSet>
      <sheetData sheetId="1">
        <row r="46">
          <cell r="L46">
            <v>0</v>
          </cell>
        </row>
        <row r="47">
          <cell r="L47">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workbookViewId="0" topLeftCell="A7">
      <selection activeCell="P39" sqref="P39:R39"/>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23" t="s">
        <v>0</v>
      </c>
      <c r="B1" s="323"/>
      <c r="C1" s="323"/>
      <c r="D1" s="326" t="s">
        <v>304</v>
      </c>
      <c r="E1" s="327"/>
      <c r="F1" s="327"/>
      <c r="G1" s="327"/>
      <c r="H1" s="327"/>
      <c r="I1" s="327"/>
      <c r="J1" s="37"/>
      <c r="K1" s="18"/>
      <c r="L1" s="42" t="s">
        <v>1</v>
      </c>
      <c r="M1" s="316" t="s">
        <v>305</v>
      </c>
      <c r="N1" s="317"/>
      <c r="O1" s="314" t="s">
        <v>91</v>
      </c>
      <c r="P1" s="314"/>
      <c r="Q1" s="314"/>
      <c r="R1" s="256" t="s">
        <v>306</v>
      </c>
    </row>
    <row r="2" spans="4:18" ht="12.75" customHeight="1">
      <c r="D2" s="312" t="s">
        <v>89</v>
      </c>
      <c r="E2" s="312"/>
      <c r="F2" s="312"/>
      <c r="G2" s="312"/>
      <c r="H2" s="312"/>
      <c r="I2" s="312"/>
      <c r="M2" s="36"/>
      <c r="O2" s="43"/>
      <c r="P2" s="43"/>
      <c r="Q2" s="36"/>
      <c r="R2" s="39"/>
    </row>
    <row r="3" spans="4:18" ht="12.75" customHeight="1">
      <c r="D3" s="308"/>
      <c r="E3" s="308"/>
      <c r="F3" s="308"/>
      <c r="G3" s="308"/>
      <c r="H3" s="308"/>
      <c r="I3" s="308"/>
      <c r="M3" s="36"/>
      <c r="O3" s="43"/>
      <c r="P3" s="43"/>
      <c r="Q3" s="36"/>
      <c r="R3" s="39"/>
    </row>
    <row r="4" spans="4:18" ht="12.75" customHeight="1">
      <c r="D4" s="312" t="s">
        <v>90</v>
      </c>
      <c r="E4" s="312"/>
      <c r="F4" s="312"/>
      <c r="G4" s="312"/>
      <c r="H4" s="312"/>
      <c r="I4" s="312"/>
      <c r="M4" s="36"/>
      <c r="O4" s="43"/>
      <c r="P4" s="43"/>
      <c r="Q4" s="36"/>
      <c r="R4" s="39"/>
    </row>
    <row r="5" spans="13:18" ht="12.75" customHeight="1">
      <c r="M5" s="36"/>
      <c r="O5" s="43"/>
      <c r="P5" s="43"/>
      <c r="Q5" s="36"/>
      <c r="R5" s="39"/>
    </row>
    <row r="6" spans="1:10" ht="18" customHeight="1">
      <c r="A6" s="36"/>
      <c r="B6" s="324" t="s">
        <v>256</v>
      </c>
      <c r="C6" s="324"/>
      <c r="D6" s="324"/>
      <c r="E6" s="324"/>
      <c r="F6" s="324"/>
      <c r="G6" s="324"/>
      <c r="H6" s="324"/>
      <c r="I6" s="324"/>
      <c r="J6" s="36"/>
    </row>
    <row r="7" spans="1:10" ht="12.75">
      <c r="A7" s="36"/>
      <c r="B7" s="36"/>
      <c r="C7" s="36"/>
      <c r="D7" s="36"/>
      <c r="E7" s="36"/>
      <c r="F7" s="36"/>
      <c r="G7" s="36"/>
      <c r="H7" s="37"/>
      <c r="I7" s="37"/>
      <c r="J7" s="45"/>
    </row>
    <row r="8" spans="1:18" ht="18" customHeight="1">
      <c r="A8" s="36"/>
      <c r="B8" s="324" t="s">
        <v>2</v>
      </c>
      <c r="C8" s="324"/>
      <c r="D8" s="324"/>
      <c r="E8" s="324"/>
      <c r="F8" s="324"/>
      <c r="G8" s="324"/>
      <c r="H8" s="324"/>
      <c r="I8" s="324"/>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5" t="s">
        <v>3</v>
      </c>
      <c r="C10" s="325"/>
      <c r="D10" s="325"/>
      <c r="E10" s="325"/>
      <c r="F10" s="325"/>
      <c r="G10" s="325"/>
      <c r="H10" s="325"/>
      <c r="I10" s="325"/>
      <c r="J10" s="315"/>
      <c r="K10" s="249"/>
    </row>
    <row r="11" spans="1:18" ht="12.75" customHeight="1">
      <c r="A11" s="36"/>
      <c r="B11" s="325"/>
      <c r="C11" s="325"/>
      <c r="D11" s="325"/>
      <c r="E11" s="325"/>
      <c r="F11" s="325"/>
      <c r="G11" s="325"/>
      <c r="H11" s="325"/>
      <c r="I11" s="325"/>
      <c r="J11" s="315"/>
      <c r="K11" s="47" t="s">
        <v>44</v>
      </c>
      <c r="L11" s="331" t="s">
        <v>258</v>
      </c>
      <c r="M11" s="332"/>
      <c r="N11" s="332"/>
      <c r="O11" s="332"/>
      <c r="P11" s="332"/>
      <c r="Q11" s="48" t="s">
        <v>5</v>
      </c>
      <c r="R11" s="49">
        <v>858303</v>
      </c>
    </row>
    <row r="12" spans="1:10" ht="12.75" customHeight="1">
      <c r="A12" s="36"/>
      <c r="B12" s="36"/>
      <c r="C12" s="36"/>
      <c r="D12" s="36"/>
      <c r="E12" s="36"/>
      <c r="F12" s="36"/>
      <c r="G12" s="36"/>
      <c r="H12" s="37"/>
      <c r="I12" s="37"/>
      <c r="J12" s="45"/>
    </row>
    <row r="13" spans="8:17" ht="12.75" customHeight="1">
      <c r="H13" s="18"/>
      <c r="I13" s="18"/>
      <c r="J13" s="50"/>
      <c r="K13" s="47" t="s">
        <v>45</v>
      </c>
      <c r="L13" s="330" t="s">
        <v>259</v>
      </c>
      <c r="M13" s="330"/>
      <c r="N13" s="330"/>
      <c r="O13" s="330"/>
      <c r="P13" s="330"/>
      <c r="Q13" s="330"/>
    </row>
    <row r="14" spans="8:10" ht="12.75" customHeight="1">
      <c r="H14" s="18"/>
      <c r="I14" s="18"/>
      <c r="J14" s="50"/>
    </row>
    <row r="15" spans="1:18" ht="12.75" customHeight="1">
      <c r="A15" s="37"/>
      <c r="B15" s="37"/>
      <c r="C15" s="37"/>
      <c r="D15" s="308" t="s">
        <v>82</v>
      </c>
      <c r="E15" s="308"/>
      <c r="F15" s="308"/>
      <c r="G15" s="308"/>
      <c r="H15" s="308"/>
      <c r="I15" s="37"/>
      <c r="J15" s="50"/>
      <c r="O15" s="44" t="s">
        <v>6</v>
      </c>
      <c r="P15" s="51" t="s">
        <v>7</v>
      </c>
      <c r="Q15" s="52" t="s">
        <v>5</v>
      </c>
      <c r="R15" s="53">
        <v>30000</v>
      </c>
    </row>
    <row r="16" spans="1:18" ht="12.75" customHeight="1">
      <c r="A16" s="38"/>
      <c r="B16" s="319" t="s">
        <v>80</v>
      </c>
      <c r="C16" s="319"/>
      <c r="D16" s="320"/>
      <c r="E16" s="320"/>
      <c r="F16" s="320"/>
      <c r="G16" s="320"/>
      <c r="H16" s="320"/>
      <c r="I16" s="319"/>
      <c r="J16" s="50"/>
      <c r="O16" s="44" t="s">
        <v>9</v>
      </c>
      <c r="P16" s="51" t="s">
        <v>10</v>
      </c>
      <c r="Q16" s="52" t="s">
        <v>5</v>
      </c>
      <c r="R16" s="49"/>
    </row>
    <row r="17" spans="8:18" ht="12.75" customHeight="1">
      <c r="H17" s="18"/>
      <c r="I17" s="18"/>
      <c r="J17" s="50"/>
      <c r="O17" s="44" t="s">
        <v>8</v>
      </c>
      <c r="P17" s="51" t="s">
        <v>69</v>
      </c>
      <c r="Q17" s="52" t="s">
        <v>5</v>
      </c>
      <c r="R17" s="54">
        <f>619294+5050+41407+3612</f>
        <v>669363</v>
      </c>
    </row>
    <row r="18" spans="2:18" ht="12.75" customHeight="1">
      <c r="B18" s="37"/>
      <c r="C18" s="37"/>
      <c r="D18" s="37"/>
      <c r="E18" s="37"/>
      <c r="F18" s="37"/>
      <c r="G18" s="37"/>
      <c r="H18" s="37"/>
      <c r="I18" s="37"/>
      <c r="J18" s="50"/>
      <c r="O18" s="44" t="s">
        <v>11</v>
      </c>
      <c r="P18" s="51" t="s">
        <v>70</v>
      </c>
      <c r="Q18" s="52" t="s">
        <v>5</v>
      </c>
      <c r="R18" s="54">
        <v>114969</v>
      </c>
    </row>
    <row r="19" spans="2:18" ht="12.75" customHeight="1">
      <c r="B19" s="321" t="s">
        <v>81</v>
      </c>
      <c r="C19" s="321"/>
      <c r="D19" s="321"/>
      <c r="E19" s="321"/>
      <c r="F19" s="321"/>
      <c r="G19" s="321"/>
      <c r="H19" s="321"/>
      <c r="I19" s="321"/>
      <c r="J19" s="50"/>
      <c r="O19" s="35" t="s">
        <v>46</v>
      </c>
      <c r="Q19" s="52" t="s">
        <v>5</v>
      </c>
      <c r="R19" s="55">
        <f>SUM(R15:R18)</f>
        <v>814332</v>
      </c>
    </row>
    <row r="20" spans="8:10" ht="12.75" customHeight="1">
      <c r="H20" s="18"/>
      <c r="I20" s="18"/>
      <c r="J20" s="50"/>
    </row>
    <row r="21" spans="8:10" ht="12.75" customHeight="1">
      <c r="H21" s="18"/>
      <c r="I21" s="18"/>
      <c r="J21" s="50"/>
    </row>
    <row r="22" spans="1:18" ht="12.75" customHeight="1">
      <c r="A22" s="39"/>
      <c r="B22" s="322" t="s">
        <v>257</v>
      </c>
      <c r="C22" s="321"/>
      <c r="D22" s="321"/>
      <c r="E22" s="321"/>
      <c r="F22" s="321"/>
      <c r="G22" s="321"/>
      <c r="H22" s="321"/>
      <c r="I22" s="321"/>
      <c r="J22" s="56"/>
      <c r="L22" s="333"/>
      <c r="M22" s="333"/>
      <c r="N22" s="333"/>
      <c r="O22" s="333"/>
      <c r="P22" s="333"/>
      <c r="Q22" s="333"/>
      <c r="R22" s="333"/>
    </row>
    <row r="23" spans="8:21" ht="12.75" customHeight="1">
      <c r="H23" s="18"/>
      <c r="I23" s="18"/>
      <c r="J23" s="50"/>
      <c r="N23" s="334"/>
      <c r="O23" s="334"/>
      <c r="R23" s="335"/>
      <c r="S23" s="335"/>
      <c r="T23" s="335"/>
      <c r="U23" s="335"/>
    </row>
    <row r="24" spans="2:18" ht="12.75" customHeight="1">
      <c r="B24" s="57"/>
      <c r="C24" s="309" t="s">
        <v>82</v>
      </c>
      <c r="D24" s="309"/>
      <c r="E24" s="58"/>
      <c r="F24" s="313">
        <v>42536</v>
      </c>
      <c r="G24" s="313"/>
      <c r="H24" s="313"/>
      <c r="I24" s="18"/>
      <c r="J24" s="50"/>
      <c r="L24" s="17"/>
      <c r="M24" s="17"/>
      <c r="N24" s="17"/>
      <c r="O24" s="17"/>
      <c r="P24" s="17"/>
      <c r="Q24" s="17"/>
      <c r="R24" s="17"/>
    </row>
    <row r="25" spans="2:18" ht="12.75" customHeight="1">
      <c r="B25" s="57"/>
      <c r="C25" s="309" t="s">
        <v>83</v>
      </c>
      <c r="D25" s="309"/>
      <c r="E25" s="58"/>
      <c r="F25" s="318"/>
      <c r="G25" s="318"/>
      <c r="H25" s="318"/>
      <c r="I25" s="18"/>
      <c r="J25" s="50"/>
      <c r="L25" s="340" t="s">
        <v>140</v>
      </c>
      <c r="M25" s="340"/>
      <c r="N25" s="340"/>
      <c r="O25" s="338" t="s">
        <v>307</v>
      </c>
      <c r="P25" s="339"/>
      <c r="Q25" s="339"/>
      <c r="R25" s="339"/>
    </row>
    <row r="26" spans="2:18" ht="12.75" customHeight="1">
      <c r="B26" s="57"/>
      <c r="C26" s="309" t="s">
        <v>84</v>
      </c>
      <c r="D26" s="309"/>
      <c r="E26" s="58"/>
      <c r="F26" s="318"/>
      <c r="G26" s="318"/>
      <c r="H26" s="318"/>
      <c r="I26" s="18"/>
      <c r="J26" s="50"/>
      <c r="L26" s="59" t="s">
        <v>138</v>
      </c>
      <c r="M26" s="338" t="s">
        <v>308</v>
      </c>
      <c r="N26" s="339"/>
      <c r="O26" s="52" t="s">
        <v>139</v>
      </c>
      <c r="P26" s="328"/>
      <c r="Q26" s="328"/>
      <c r="R26" s="328"/>
    </row>
    <row r="27" spans="2:10" ht="12.75" customHeight="1">
      <c r="B27" s="38"/>
      <c r="C27" s="38"/>
      <c r="D27" s="38"/>
      <c r="E27" s="38"/>
      <c r="F27" s="312" t="s">
        <v>85</v>
      </c>
      <c r="G27" s="312"/>
      <c r="H27" s="312"/>
      <c r="I27" s="60"/>
      <c r="J27" s="46"/>
    </row>
    <row r="28" spans="2:10" ht="12.75" customHeight="1">
      <c r="B28" s="38"/>
      <c r="C28" s="57"/>
      <c r="D28" s="61"/>
      <c r="E28" s="37"/>
      <c r="F28" s="39"/>
      <c r="G28" s="62"/>
      <c r="H28" s="60"/>
      <c r="I28" s="60"/>
      <c r="J28" s="46"/>
    </row>
    <row r="29" spans="1:18" ht="12.75" customHeight="1">
      <c r="A29" s="311"/>
      <c r="B29" s="311"/>
      <c r="C29" s="311"/>
      <c r="D29" s="311"/>
      <c r="E29" s="311"/>
      <c r="F29" s="38"/>
      <c r="G29" s="310"/>
      <c r="H29" s="310"/>
      <c r="I29" s="310"/>
      <c r="J29" s="46"/>
      <c r="L29" s="336" t="s">
        <v>260</v>
      </c>
      <c r="M29" s="337"/>
      <c r="N29" s="337"/>
      <c r="O29" s="337"/>
      <c r="P29" s="337"/>
      <c r="Q29" s="337"/>
      <c r="R29" s="337"/>
    </row>
    <row r="30" spans="1:18" ht="12.75" customHeight="1">
      <c r="A30" s="37"/>
      <c r="B30" s="37"/>
      <c r="C30" s="37"/>
      <c r="D30" s="37"/>
      <c r="E30" s="37"/>
      <c r="F30" s="37"/>
      <c r="G30" s="37"/>
      <c r="H30" s="60"/>
      <c r="I30" s="60"/>
      <c r="J30" s="46"/>
      <c r="L30" s="341"/>
      <c r="M30" s="341"/>
      <c r="N30" s="342" t="s">
        <v>87</v>
      </c>
      <c r="O30" s="342"/>
      <c r="P30" s="342"/>
      <c r="Q30" s="342"/>
      <c r="R30" s="342"/>
    </row>
    <row r="31" spans="1:18" ht="12.75" customHeight="1">
      <c r="A31" s="311"/>
      <c r="B31" s="311"/>
      <c r="C31" s="311"/>
      <c r="D31" s="311"/>
      <c r="E31" s="311"/>
      <c r="F31" s="38"/>
      <c r="G31" s="310"/>
      <c r="H31" s="310"/>
      <c r="I31" s="310"/>
      <c r="J31" s="50"/>
      <c r="L31" s="37"/>
      <c r="M31" s="63"/>
      <c r="N31" s="63"/>
      <c r="O31" s="63"/>
      <c r="P31" s="63"/>
      <c r="Q31" s="63"/>
      <c r="R31" s="63"/>
    </row>
    <row r="32" spans="1:18" ht="12.75" customHeight="1">
      <c r="A32" s="40"/>
      <c r="B32" s="40"/>
      <c r="C32" s="40"/>
      <c r="D32" s="40"/>
      <c r="E32" s="40"/>
      <c r="F32" s="37"/>
      <c r="G32" s="40"/>
      <c r="H32" s="18"/>
      <c r="I32" s="18"/>
      <c r="J32" s="50"/>
      <c r="L32" s="343"/>
      <c r="M32" s="343"/>
      <c r="N32" s="343"/>
      <c r="O32" s="64"/>
      <c r="P32" s="65"/>
      <c r="Q32" s="65"/>
      <c r="R32" s="65"/>
    </row>
    <row r="33" spans="1:18" ht="12.75" customHeight="1">
      <c r="A33" s="311"/>
      <c r="B33" s="311"/>
      <c r="C33" s="311"/>
      <c r="D33" s="311"/>
      <c r="E33" s="311"/>
      <c r="F33" s="38"/>
      <c r="G33" s="310"/>
      <c r="H33" s="310"/>
      <c r="I33" s="310"/>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1"/>
      <c r="B35" s="311"/>
      <c r="C35" s="311"/>
      <c r="D35" s="311"/>
      <c r="E35" s="311"/>
      <c r="F35" s="38"/>
      <c r="G35" s="310"/>
      <c r="H35" s="310"/>
      <c r="I35" s="310"/>
      <c r="J35" s="66"/>
      <c r="L35" s="311"/>
      <c r="M35" s="311"/>
      <c r="N35" s="311"/>
      <c r="P35" s="311"/>
      <c r="Q35" s="311"/>
      <c r="R35" s="311"/>
    </row>
    <row r="36" spans="1:18" s="35" customFormat="1" ht="12.75" customHeight="1">
      <c r="A36" s="37"/>
      <c r="B36" s="37"/>
      <c r="C36" s="37"/>
      <c r="D36" s="60"/>
      <c r="E36" s="60"/>
      <c r="F36" s="60"/>
      <c r="G36" s="60"/>
      <c r="H36" s="67"/>
      <c r="I36" s="67"/>
      <c r="J36" s="66"/>
      <c r="L36" s="329" t="s">
        <v>254</v>
      </c>
      <c r="M36" s="312"/>
      <c r="N36" s="312"/>
      <c r="P36" s="329" t="s">
        <v>254</v>
      </c>
      <c r="Q36" s="312"/>
      <c r="R36" s="312"/>
    </row>
    <row r="37" spans="1:10" s="37" customFormat="1" ht="12.75" customHeight="1">
      <c r="A37" s="311"/>
      <c r="B37" s="311"/>
      <c r="C37" s="311"/>
      <c r="D37" s="311"/>
      <c r="E37" s="311"/>
      <c r="F37" s="38"/>
      <c r="G37" s="310"/>
      <c r="H37" s="310"/>
      <c r="I37" s="310"/>
      <c r="J37" s="66"/>
    </row>
    <row r="38" spans="1:10" s="35" customFormat="1" ht="12.75" customHeight="1">
      <c r="A38" s="37"/>
      <c r="B38" s="37"/>
      <c r="C38" s="37"/>
      <c r="D38" s="60"/>
      <c r="E38" s="60"/>
      <c r="F38" s="60"/>
      <c r="G38" s="60"/>
      <c r="H38" s="67"/>
      <c r="I38" s="67"/>
      <c r="J38" s="66"/>
    </row>
    <row r="39" spans="1:18" s="37" customFormat="1" ht="12.75" customHeight="1">
      <c r="A39" s="311"/>
      <c r="B39" s="311"/>
      <c r="C39" s="311"/>
      <c r="D39" s="311"/>
      <c r="E39" s="311"/>
      <c r="F39" s="38"/>
      <c r="G39" s="310"/>
      <c r="H39" s="310"/>
      <c r="I39" s="310"/>
      <c r="J39" s="66"/>
      <c r="L39" s="308" t="s">
        <v>307</v>
      </c>
      <c r="M39" s="308"/>
      <c r="N39" s="308"/>
      <c r="O39" s="65"/>
      <c r="P39" s="308" t="s">
        <v>309</v>
      </c>
      <c r="Q39" s="308"/>
      <c r="R39" s="308"/>
    </row>
    <row r="40" spans="1:18" s="35" customFormat="1" ht="12.75" customHeight="1">
      <c r="A40" s="37"/>
      <c r="B40" s="37"/>
      <c r="C40" s="37"/>
      <c r="D40" s="60"/>
      <c r="E40" s="60"/>
      <c r="F40" s="60"/>
      <c r="G40" s="60"/>
      <c r="H40" s="67"/>
      <c r="I40" s="67"/>
      <c r="J40" s="66"/>
      <c r="L40" s="329" t="s">
        <v>271</v>
      </c>
      <c r="M40" s="312"/>
      <c r="N40" s="312"/>
      <c r="O40" s="65"/>
      <c r="P40" s="329" t="s">
        <v>271</v>
      </c>
      <c r="Q40" s="312"/>
      <c r="R40" s="312"/>
    </row>
    <row r="41" spans="1:18" s="37" customFormat="1" ht="12.75" customHeight="1">
      <c r="A41" s="311"/>
      <c r="B41" s="311"/>
      <c r="C41" s="311"/>
      <c r="D41" s="311"/>
      <c r="E41" s="311"/>
      <c r="F41" s="38"/>
      <c r="G41" s="310"/>
      <c r="H41" s="310"/>
      <c r="I41" s="310"/>
      <c r="J41" s="66"/>
      <c r="M41" s="65"/>
      <c r="N41" s="65"/>
      <c r="O41" s="65"/>
      <c r="P41" s="65"/>
      <c r="Q41" s="65"/>
      <c r="R41" s="65"/>
    </row>
    <row r="42" spans="1:18" s="35" customFormat="1" ht="12.75" customHeight="1">
      <c r="A42" s="312" t="s">
        <v>86</v>
      </c>
      <c r="B42" s="312"/>
      <c r="C42" s="312"/>
      <c r="D42" s="312"/>
      <c r="E42" s="312"/>
      <c r="F42" s="38"/>
      <c r="G42" s="312" t="s">
        <v>43</v>
      </c>
      <c r="H42" s="312"/>
      <c r="I42" s="312"/>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0">
    <mergeCell ref="L40:N40"/>
    <mergeCell ref="L30:M30"/>
    <mergeCell ref="N30:R30"/>
    <mergeCell ref="L32:N32"/>
    <mergeCell ref="L35:N35"/>
    <mergeCell ref="O25:R25"/>
    <mergeCell ref="P40:R40"/>
    <mergeCell ref="R23:U23"/>
    <mergeCell ref="F25:H25"/>
    <mergeCell ref="L39:N39"/>
    <mergeCell ref="L29:R29"/>
    <mergeCell ref="M26:N26"/>
    <mergeCell ref="L25:N25"/>
    <mergeCell ref="P36:R36"/>
    <mergeCell ref="P35:R35"/>
    <mergeCell ref="P39:R39"/>
    <mergeCell ref="A29:E29"/>
    <mergeCell ref="A31:E31"/>
    <mergeCell ref="P26:R26"/>
    <mergeCell ref="L36:N36"/>
    <mergeCell ref="D4:I4"/>
    <mergeCell ref="B11:I11"/>
    <mergeCell ref="L13:Q13"/>
    <mergeCell ref="L11:P11"/>
    <mergeCell ref="L22:R22"/>
    <mergeCell ref="N23:O23"/>
    <mergeCell ref="A1:C1"/>
    <mergeCell ref="B6:I6"/>
    <mergeCell ref="B8:I8"/>
    <mergeCell ref="B10:I10"/>
    <mergeCell ref="D1:I1"/>
    <mergeCell ref="D2:I2"/>
    <mergeCell ref="D3:I3"/>
    <mergeCell ref="A41:E41"/>
    <mergeCell ref="A42:E42"/>
    <mergeCell ref="G37:I37"/>
    <mergeCell ref="G39:I39"/>
    <mergeCell ref="A37:E37"/>
    <mergeCell ref="A39:E39"/>
    <mergeCell ref="G41:I41"/>
    <mergeCell ref="O1:Q1"/>
    <mergeCell ref="J10:J11"/>
    <mergeCell ref="M1:N1"/>
    <mergeCell ref="G29:I29"/>
    <mergeCell ref="G31:I31"/>
    <mergeCell ref="G42:I42"/>
    <mergeCell ref="F26:H26"/>
    <mergeCell ref="B16:I16"/>
    <mergeCell ref="B19:I19"/>
    <mergeCell ref="B22:I22"/>
    <mergeCell ref="D15:H15"/>
    <mergeCell ref="C24:D24"/>
    <mergeCell ref="C25:D25"/>
    <mergeCell ref="G35:I35"/>
    <mergeCell ref="A33:E33"/>
    <mergeCell ref="F27:H27"/>
    <mergeCell ref="G33:I33"/>
    <mergeCell ref="F24:H24"/>
    <mergeCell ref="C26:D26"/>
    <mergeCell ref="A35:E35"/>
  </mergeCells>
  <dataValidations count="3">
    <dataValidation type="list" allowBlank="1" showErrorMessage="1" errorTitle="Invalid Entry" error="Please select the budget version from the drop down list." sqref="D15:H15">
      <formula1>"Proposed, Adopted, Revised #1, Revised #2, Revised #3, Revised #4"</formula1>
    </dataValidation>
    <dataValidation type="textLength" operator="equal" allowBlank="1" showInputMessage="1" showErrorMessage="1" error="This cell will only accept entries of 9 digits.  For school district-sponsored charter schools the last three digits will be 700 or greater and end in 5 or 0.  All other charter schools enter your CTD number plus 3 zeros." sqref="R1">
      <formula1>9</formula1>
    </dataValidation>
    <dataValidation type="date" operator="greaterThan" allowBlank="1" showInputMessage="1" showErrorMessage="1" promptTitle="Enter Date as" prompt="MM/DD/YYYY" errorTitle="Date" error="Enter a Valid Date&#10;MM/DD/YYYY" sqref="F24:H24 F25:H25 F26:H26 L30:M30">
      <formula1>42139</formula1>
    </dataValidation>
  </dataValidations>
  <hyperlinks>
    <hyperlink ref="B16:I16" location="Version" display="Version"/>
    <hyperlink ref="L13:Q13" location="EstimatedRevenues" display="ESTIMATED REVENUES BY SOURCE FOR FISCAL YEAR 2014"/>
    <hyperlink ref="O1:Q1" location="CTDSNumber" display="CTDS NUMBER"/>
  </hyperlinks>
  <printOptions horizontalCentered="1" verticalCentered="1"/>
  <pageMargins left="0.75" right="0.5" top="0.25" bottom="0.25" header="0" footer="0"/>
  <pageSetup fitToHeight="1" fitToWidth="1" horizontalDpi="600" verticalDpi="600" orientation="landscape" scale="78" r:id="rId2"/>
  <headerFooter>
    <oddFooter>&amp;L&amp;"Arial,Bold"Rev. 5/16&amp;C&amp;"Arial,Bold"FY 2017</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16">
      <selection activeCell="L25" sqref="L25"/>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44" t="str">
        <f>Cover!D1</f>
        <v>James Sandoval Preparatory High School</v>
      </c>
      <c r="E1" s="344"/>
      <c r="F1" s="344"/>
      <c r="H1" s="70" t="s">
        <v>54</v>
      </c>
      <c r="I1" s="345" t="str">
        <f>Cover!M1</f>
        <v>Maricopa</v>
      </c>
      <c r="J1" s="345"/>
      <c r="L1" s="70" t="s">
        <v>91</v>
      </c>
      <c r="M1" s="346" t="str">
        <f>Cover!R1</f>
        <v>078928000</v>
      </c>
      <c r="N1" s="346"/>
    </row>
    <row r="2" spans="1:14" ht="3.75" customHeight="1">
      <c r="A2" s="122"/>
      <c r="B2" s="122"/>
      <c r="C2" s="122"/>
      <c r="D2" s="122"/>
      <c r="E2" s="122"/>
      <c r="F2" s="122"/>
      <c r="G2" s="122"/>
      <c r="H2" s="122"/>
      <c r="I2" s="122"/>
      <c r="J2" s="31"/>
      <c r="K2" s="31"/>
      <c r="L2" s="31"/>
      <c r="M2" s="31"/>
      <c r="N2" s="69"/>
    </row>
    <row r="3" spans="2:14" ht="12" customHeight="1">
      <c r="B3" s="253"/>
      <c r="F3" s="84"/>
      <c r="H3" s="84" t="s">
        <v>15</v>
      </c>
      <c r="I3" s="84"/>
      <c r="J3" s="84"/>
      <c r="K3" s="79" t="s">
        <v>62</v>
      </c>
      <c r="L3" s="80"/>
      <c r="M3" s="97"/>
      <c r="N3" s="123"/>
    </row>
    <row r="4" spans="1:14" ht="12" customHeight="1">
      <c r="A4" s="17" t="s">
        <v>13</v>
      </c>
      <c r="D4" s="347"/>
      <c r="F4" s="85"/>
      <c r="G4" s="265" t="s">
        <v>14</v>
      </c>
      <c r="H4" s="84" t="s">
        <v>18</v>
      </c>
      <c r="J4" s="85"/>
      <c r="K4" s="279" t="s">
        <v>251</v>
      </c>
      <c r="L4" s="84" t="s">
        <v>63</v>
      </c>
      <c r="M4" s="98" t="s">
        <v>64</v>
      </c>
      <c r="N4" s="123"/>
    </row>
    <row r="5" spans="4:14" ht="12" customHeight="1">
      <c r="D5" s="347"/>
      <c r="F5" s="84" t="s">
        <v>16</v>
      </c>
      <c r="G5" s="265"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2016</v>
      </c>
      <c r="L6" s="98">
        <v>2017</v>
      </c>
      <c r="M6" s="98" t="s">
        <v>66</v>
      </c>
      <c r="N6" s="123"/>
    </row>
    <row r="7" spans="1:14" ht="12" customHeight="1">
      <c r="A7" s="17" t="s">
        <v>22</v>
      </c>
      <c r="F7" s="128"/>
      <c r="G7" s="128"/>
      <c r="H7" s="128"/>
      <c r="I7" s="128"/>
      <c r="J7" s="130"/>
      <c r="K7" s="1"/>
      <c r="L7" s="1"/>
      <c r="M7" s="77"/>
      <c r="N7" s="69"/>
    </row>
    <row r="8" spans="2:14" ht="12" customHeight="1">
      <c r="B8" s="17" t="s">
        <v>23</v>
      </c>
      <c r="E8" s="124">
        <v>1</v>
      </c>
      <c r="F8" s="106">
        <v>127347</v>
      </c>
      <c r="G8" s="106">
        <f>127347*0.125</f>
        <v>15918</v>
      </c>
      <c r="H8" s="106">
        <f>2521+252+252</f>
        <v>3025</v>
      </c>
      <c r="I8" s="106">
        <f>4553+453+453</f>
        <v>5459</v>
      </c>
      <c r="J8" s="169">
        <f>180+18+18</f>
        <v>216</v>
      </c>
      <c r="K8" s="171">
        <v>126106</v>
      </c>
      <c r="L8" s="172">
        <f>SUM(F8:J8)</f>
        <v>151965</v>
      </c>
      <c r="M8" s="173">
        <f>IF(K8=0," ",(L8-K8)/K8)</f>
        <v>0.205</v>
      </c>
      <c r="N8" s="2">
        <v>1</v>
      </c>
    </row>
    <row r="9" spans="2:14" ht="12" customHeight="1">
      <c r="B9" s="17" t="s">
        <v>24</v>
      </c>
      <c r="E9" s="124"/>
      <c r="F9" s="128"/>
      <c r="G9" s="128"/>
      <c r="H9" s="128"/>
      <c r="I9" s="128"/>
      <c r="J9" s="130"/>
      <c r="K9" s="77"/>
      <c r="L9" s="77"/>
      <c r="M9" s="77"/>
      <c r="N9" s="2"/>
    </row>
    <row r="10" spans="2:14" ht="12" customHeight="1">
      <c r="B10" s="17" t="s">
        <v>131</v>
      </c>
      <c r="E10" s="124">
        <v>2</v>
      </c>
      <c r="F10" s="106"/>
      <c r="G10" s="106"/>
      <c r="H10" s="307">
        <f>533+5</f>
        <v>538</v>
      </c>
      <c r="I10" s="106">
        <f>2606+26</f>
        <v>2632</v>
      </c>
      <c r="J10" s="169">
        <f>50+5+5</f>
        <v>60</v>
      </c>
      <c r="K10" s="106">
        <v>3139</v>
      </c>
      <c r="L10" s="108">
        <f>SUM(F10:J10)</f>
        <v>3230</v>
      </c>
      <c r="M10" s="168">
        <f>IF(K10=0," ",(L10-K10)/K10)</f>
        <v>0.029</v>
      </c>
      <c r="N10" s="2">
        <v>2</v>
      </c>
    </row>
    <row r="11" spans="2:14" ht="12" customHeight="1">
      <c r="B11" s="17" t="s">
        <v>149</v>
      </c>
      <c r="E11" s="124">
        <v>3</v>
      </c>
      <c r="F11" s="25">
        <v>50</v>
      </c>
      <c r="G11" s="25">
        <v>6</v>
      </c>
      <c r="H11" s="25">
        <f>14414+1441+1441</f>
        <v>17296</v>
      </c>
      <c r="I11" s="25"/>
      <c r="J11" s="25"/>
      <c r="K11" s="25">
        <v>16375</v>
      </c>
      <c r="L11" s="6">
        <f aca="true" t="shared" si="0" ref="L11:L23">SUM(F11:J11)</f>
        <v>17352</v>
      </c>
      <c r="M11" s="12">
        <f aca="true" t="shared" si="1" ref="M11:M23">IF(K11=0," ",(L11-K11)/K11)</f>
        <v>0.06</v>
      </c>
      <c r="N11" s="91">
        <v>3</v>
      </c>
    </row>
    <row r="12" spans="2:14" ht="12" customHeight="1">
      <c r="B12" s="17" t="s">
        <v>25</v>
      </c>
      <c r="E12" s="124">
        <v>4</v>
      </c>
      <c r="F12" s="25"/>
      <c r="G12" s="25"/>
      <c r="H12" s="25"/>
      <c r="I12" s="25"/>
      <c r="J12" s="25"/>
      <c r="K12" s="26">
        <v>0</v>
      </c>
      <c r="L12" s="6">
        <f t="shared" si="0"/>
        <v>0</v>
      </c>
      <c r="M12" s="12" t="str">
        <f t="shared" si="1"/>
        <v> </v>
      </c>
      <c r="N12" s="91">
        <v>4</v>
      </c>
    </row>
    <row r="13" spans="2:14" ht="12" customHeight="1">
      <c r="B13" s="17" t="s">
        <v>26</v>
      </c>
      <c r="E13" s="124">
        <v>5</v>
      </c>
      <c r="F13" s="25">
        <f>23392+2339+2339</f>
        <v>28070</v>
      </c>
      <c r="G13" s="25">
        <f>12551+1255+1255</f>
        <v>15061</v>
      </c>
      <c r="H13" s="25">
        <f>11578+1158+1158</f>
        <v>13894</v>
      </c>
      <c r="I13" s="25">
        <f>783+78+78</f>
        <v>939</v>
      </c>
      <c r="J13" s="25">
        <f>105+11+11</f>
        <v>127</v>
      </c>
      <c r="K13" s="26">
        <v>55781</v>
      </c>
      <c r="L13" s="6">
        <f t="shared" si="0"/>
        <v>58091</v>
      </c>
      <c r="M13" s="12">
        <f t="shared" si="1"/>
        <v>0.041</v>
      </c>
      <c r="N13" s="91">
        <v>5</v>
      </c>
    </row>
    <row r="14" spans="2:14" ht="12" customHeight="1">
      <c r="B14" s="17" t="s">
        <v>150</v>
      </c>
      <c r="E14" s="124">
        <v>6</v>
      </c>
      <c r="F14" s="25"/>
      <c r="G14" s="25">
        <f>970+97+97</f>
        <v>1164</v>
      </c>
      <c r="H14" s="25">
        <f>44086+4409+4409</f>
        <v>52904</v>
      </c>
      <c r="I14" s="25">
        <f>873+87+87</f>
        <v>1047</v>
      </c>
      <c r="J14" s="25">
        <f>1565+157+157</f>
        <v>1879</v>
      </c>
      <c r="K14" s="26">
        <v>54377</v>
      </c>
      <c r="L14" s="6">
        <f>SUM(F14:J14)</f>
        <v>56994</v>
      </c>
      <c r="M14" s="12">
        <f t="shared" si="1"/>
        <v>0.048</v>
      </c>
      <c r="N14" s="91">
        <v>6</v>
      </c>
    </row>
    <row r="15" spans="2:14" ht="12" customHeight="1">
      <c r="B15" s="17" t="s">
        <v>151</v>
      </c>
      <c r="E15" s="124">
        <v>7</v>
      </c>
      <c r="F15" s="25">
        <f>5270+527+527</f>
        <v>6324</v>
      </c>
      <c r="G15" s="25">
        <f>480+48+48</f>
        <v>576</v>
      </c>
      <c r="H15" s="306">
        <f>86400+8640+8640</f>
        <v>103680</v>
      </c>
      <c r="I15" s="25">
        <f>1440+144+144</f>
        <v>1728</v>
      </c>
      <c r="J15" s="25">
        <f>382+38+38</f>
        <v>458</v>
      </c>
      <c r="K15" s="26">
        <v>103781</v>
      </c>
      <c r="L15" s="6">
        <f t="shared" si="0"/>
        <v>112766</v>
      </c>
      <c r="M15" s="12">
        <f t="shared" si="1"/>
        <v>0.087</v>
      </c>
      <c r="N15" s="91">
        <v>7</v>
      </c>
    </row>
    <row r="16" spans="2:14" ht="12" customHeight="1">
      <c r="B16" s="17" t="s">
        <v>76</v>
      </c>
      <c r="E16" s="124">
        <v>8</v>
      </c>
      <c r="F16" s="25"/>
      <c r="G16" s="25"/>
      <c r="H16" s="25"/>
      <c r="I16" s="25"/>
      <c r="J16" s="25"/>
      <c r="K16" s="26">
        <v>0</v>
      </c>
      <c r="L16" s="6">
        <f t="shared" si="0"/>
        <v>0</v>
      </c>
      <c r="M16" s="12" t="str">
        <f t="shared" si="1"/>
        <v> </v>
      </c>
      <c r="N16" s="91">
        <v>8</v>
      </c>
    </row>
    <row r="17" spans="2:14" ht="12" customHeight="1">
      <c r="B17" s="17" t="s">
        <v>27</v>
      </c>
      <c r="E17" s="124">
        <v>9</v>
      </c>
      <c r="F17" s="25"/>
      <c r="G17" s="25"/>
      <c r="H17" s="25">
        <f>38804+388</f>
        <v>39192</v>
      </c>
      <c r="I17" s="25"/>
      <c r="J17" s="25"/>
      <c r="K17" s="26">
        <v>38804</v>
      </c>
      <c r="L17" s="6">
        <f t="shared" si="0"/>
        <v>39192</v>
      </c>
      <c r="M17" s="12">
        <f t="shared" si="1"/>
        <v>0.01</v>
      </c>
      <c r="N17" s="91">
        <v>9</v>
      </c>
    </row>
    <row r="18" spans="2:14" ht="12" customHeight="1">
      <c r="B18" s="17" t="s">
        <v>152</v>
      </c>
      <c r="E18" s="3">
        <v>10</v>
      </c>
      <c r="F18" s="25"/>
      <c r="G18" s="25"/>
      <c r="H18" s="25"/>
      <c r="I18" s="25"/>
      <c r="J18" s="25"/>
      <c r="K18" s="26">
        <v>0</v>
      </c>
      <c r="L18" s="6">
        <f t="shared" si="0"/>
        <v>0</v>
      </c>
      <c r="M18" s="12" t="str">
        <f t="shared" si="1"/>
        <v> </v>
      </c>
      <c r="N18" s="91">
        <v>10</v>
      </c>
    </row>
    <row r="19" spans="1:14" ht="12" customHeight="1">
      <c r="A19" s="14"/>
      <c r="B19" s="14" t="s">
        <v>28</v>
      </c>
      <c r="C19" s="14"/>
      <c r="D19" s="14"/>
      <c r="E19" s="21">
        <v>11</v>
      </c>
      <c r="F19" s="125"/>
      <c r="G19" s="25"/>
      <c r="H19" s="25"/>
      <c r="I19" s="25"/>
      <c r="J19" s="25"/>
      <c r="K19" s="26">
        <v>0</v>
      </c>
      <c r="L19" s="6">
        <f t="shared" si="0"/>
        <v>0</v>
      </c>
      <c r="M19" s="12" t="str">
        <f t="shared" si="1"/>
        <v> </v>
      </c>
      <c r="N19" s="91">
        <v>11</v>
      </c>
    </row>
    <row r="20" spans="1:14" ht="12" customHeight="1">
      <c r="A20" s="14" t="s">
        <v>77</v>
      </c>
      <c r="B20" s="14"/>
      <c r="C20" s="14"/>
      <c r="D20" s="14"/>
      <c r="E20" s="21">
        <v>12</v>
      </c>
      <c r="F20" s="125"/>
      <c r="G20" s="25"/>
      <c r="H20" s="25"/>
      <c r="I20" s="25"/>
      <c r="J20" s="25"/>
      <c r="K20" s="25">
        <v>0</v>
      </c>
      <c r="L20" s="6">
        <f t="shared" si="0"/>
        <v>0</v>
      </c>
      <c r="M20" s="12" t="str">
        <f t="shared" si="1"/>
        <v> </v>
      </c>
      <c r="N20" s="91">
        <v>12</v>
      </c>
    </row>
    <row r="21" spans="1:14" ht="12" customHeight="1">
      <c r="A21" s="14" t="s">
        <v>79</v>
      </c>
      <c r="B21" s="14"/>
      <c r="C21" s="14"/>
      <c r="D21" s="14"/>
      <c r="E21" s="21">
        <v>13</v>
      </c>
      <c r="F21" s="125"/>
      <c r="G21" s="25"/>
      <c r="H21" s="25"/>
      <c r="I21" s="25"/>
      <c r="J21" s="25"/>
      <c r="K21" s="25">
        <v>0</v>
      </c>
      <c r="L21" s="6">
        <f>SUM(F21:J21)</f>
        <v>0</v>
      </c>
      <c r="M21" s="12" t="str">
        <f t="shared" si="1"/>
        <v> </v>
      </c>
      <c r="N21" s="91">
        <v>13</v>
      </c>
    </row>
    <row r="22" spans="1:14" ht="12" customHeight="1">
      <c r="A22" s="14" t="s">
        <v>78</v>
      </c>
      <c r="B22" s="14"/>
      <c r="C22" s="14"/>
      <c r="D22" s="14"/>
      <c r="E22" s="21">
        <v>14</v>
      </c>
      <c r="F22" s="125"/>
      <c r="G22" s="25"/>
      <c r="H22" s="25"/>
      <c r="I22" s="25"/>
      <c r="J22" s="25"/>
      <c r="K22" s="25">
        <v>0</v>
      </c>
      <c r="L22" s="6">
        <f t="shared" si="0"/>
        <v>0</v>
      </c>
      <c r="M22" s="12" t="str">
        <f t="shared" si="1"/>
        <v> </v>
      </c>
      <c r="N22" s="91">
        <v>14</v>
      </c>
    </row>
    <row r="23" spans="1:14" ht="12" customHeight="1">
      <c r="A23" s="31"/>
      <c r="B23" s="31" t="s">
        <v>144</v>
      </c>
      <c r="C23" s="31"/>
      <c r="D23" s="31"/>
      <c r="E23" s="23">
        <v>15</v>
      </c>
      <c r="F23" s="6">
        <f>SUM(F7:F22)</f>
        <v>161791</v>
      </c>
      <c r="G23" s="6">
        <f>SUM(G7:G22)</f>
        <v>32725</v>
      </c>
      <c r="H23" s="6">
        <f>SUM(H7:H22)</f>
        <v>230529</v>
      </c>
      <c r="I23" s="6">
        <f>SUM(I7:I22)</f>
        <v>11805</v>
      </c>
      <c r="J23" s="6">
        <f>SUM(J7:J22)</f>
        <v>2740</v>
      </c>
      <c r="K23" s="165">
        <f>SUM(K8:K22)</f>
        <v>398363</v>
      </c>
      <c r="L23" s="165">
        <f t="shared" si="0"/>
        <v>439590</v>
      </c>
      <c r="M23" s="12">
        <f t="shared" si="1"/>
        <v>0.103</v>
      </c>
      <c r="N23" s="91">
        <v>15</v>
      </c>
    </row>
    <row r="24" spans="1:14" ht="12" customHeight="1">
      <c r="A24" s="304" t="s">
        <v>29</v>
      </c>
      <c r="B24" s="257"/>
      <c r="C24" s="257"/>
      <c r="D24" s="258"/>
      <c r="E24" s="124"/>
      <c r="F24" s="128"/>
      <c r="G24" s="128"/>
      <c r="H24" s="128"/>
      <c r="I24" s="128"/>
      <c r="J24" s="130"/>
      <c r="K24" s="77"/>
      <c r="L24" s="77"/>
      <c r="M24" s="77"/>
      <c r="N24" s="91"/>
    </row>
    <row r="25" spans="2:14" ht="12" customHeight="1">
      <c r="B25" s="17" t="s">
        <v>23</v>
      </c>
      <c r="D25" s="14"/>
      <c r="E25" s="124">
        <v>16</v>
      </c>
      <c r="F25" s="106">
        <f>17653+1765+1765</f>
        <v>21183</v>
      </c>
      <c r="G25" s="106">
        <f>F25*0.125</f>
        <v>2648</v>
      </c>
      <c r="H25" s="106">
        <v>1300</v>
      </c>
      <c r="I25" s="106">
        <f>633+6</f>
        <v>639</v>
      </c>
      <c r="J25" s="169"/>
      <c r="K25" s="106">
        <v>25722</v>
      </c>
      <c r="L25" s="108">
        <f>SUM(F25:J25)</f>
        <v>25770</v>
      </c>
      <c r="M25" s="238">
        <f>IF(K25=0," ",(L25-K25)/K25)</f>
        <v>0.002</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f>4667+47</f>
        <v>4714</v>
      </c>
      <c r="G27" s="106">
        <f>557+6</f>
        <v>563</v>
      </c>
      <c r="H27" s="106"/>
      <c r="I27" s="106">
        <f>795+80+80</f>
        <v>955</v>
      </c>
      <c r="J27" s="169"/>
      <c r="K27" s="106">
        <v>6019</v>
      </c>
      <c r="L27" s="108">
        <f>SUM(F27:J27)</f>
        <v>6232</v>
      </c>
      <c r="M27" s="238">
        <f>IF(K27=0," ",(L27-K27)/K27)</f>
        <v>0.035</v>
      </c>
      <c r="N27" s="91">
        <v>17</v>
      </c>
    </row>
    <row r="28" spans="2:14" ht="12" customHeight="1">
      <c r="B28" s="17" t="s">
        <v>149</v>
      </c>
      <c r="E28" s="21">
        <v>18</v>
      </c>
      <c r="F28" s="25"/>
      <c r="G28" s="25"/>
      <c r="H28" s="25"/>
      <c r="I28" s="25"/>
      <c r="J28" s="25"/>
      <c r="K28" s="25">
        <v>0</v>
      </c>
      <c r="L28" s="6">
        <f aca="true" t="shared" si="2" ref="L28:L42">SUM(F28:J28)</f>
        <v>0</v>
      </c>
      <c r="M28" s="131" t="str">
        <f aca="true" t="shared" si="3" ref="M28:M48">IF(K28=0," ",(L28-K28)/K28)</f>
        <v> </v>
      </c>
      <c r="N28" s="91">
        <v>18</v>
      </c>
    </row>
    <row r="29" spans="2:14" ht="12" customHeight="1">
      <c r="B29" s="17" t="s">
        <v>25</v>
      </c>
      <c r="E29" s="21">
        <v>19</v>
      </c>
      <c r="F29" s="25"/>
      <c r="G29" s="25"/>
      <c r="H29" s="25"/>
      <c r="I29" s="25"/>
      <c r="J29" s="25"/>
      <c r="K29" s="26">
        <v>0</v>
      </c>
      <c r="L29" s="6">
        <f t="shared" si="2"/>
        <v>0</v>
      </c>
      <c r="M29" s="12" t="str">
        <f t="shared" si="3"/>
        <v> </v>
      </c>
      <c r="N29" s="91">
        <v>19</v>
      </c>
    </row>
    <row r="30" spans="2:14" ht="12" customHeight="1">
      <c r="B30" s="17" t="s">
        <v>26</v>
      </c>
      <c r="E30" s="21">
        <v>20</v>
      </c>
      <c r="F30" s="25"/>
      <c r="G30" s="25"/>
      <c r="H30" s="25"/>
      <c r="I30" s="25"/>
      <c r="J30" s="25"/>
      <c r="K30" s="26">
        <v>0</v>
      </c>
      <c r="L30" s="6">
        <f t="shared" si="2"/>
        <v>0</v>
      </c>
      <c r="M30" s="12" t="str">
        <f t="shared" si="3"/>
        <v> </v>
      </c>
      <c r="N30" s="91">
        <v>20</v>
      </c>
    </row>
    <row r="31" spans="2:14" ht="12" customHeight="1">
      <c r="B31" s="17" t="s">
        <v>150</v>
      </c>
      <c r="E31" s="21">
        <v>21</v>
      </c>
      <c r="F31" s="25"/>
      <c r="G31" s="25"/>
      <c r="H31" s="25"/>
      <c r="I31" s="25"/>
      <c r="J31" s="25"/>
      <c r="K31" s="26">
        <v>0</v>
      </c>
      <c r="L31" s="6">
        <f>SUM(F31:J31)</f>
        <v>0</v>
      </c>
      <c r="M31" s="12" t="str">
        <f t="shared" si="3"/>
        <v> </v>
      </c>
      <c r="N31" s="91">
        <v>21</v>
      </c>
    </row>
    <row r="32" spans="2:14" ht="12" customHeight="1">
      <c r="B32" s="17" t="s">
        <v>151</v>
      </c>
      <c r="E32" s="21">
        <v>22</v>
      </c>
      <c r="F32" s="25"/>
      <c r="G32" s="25"/>
      <c r="H32" s="25"/>
      <c r="I32" s="25"/>
      <c r="J32" s="25"/>
      <c r="K32" s="26">
        <v>0</v>
      </c>
      <c r="L32" s="6">
        <f t="shared" si="2"/>
        <v>0</v>
      </c>
      <c r="M32" s="12" t="str">
        <f t="shared" si="3"/>
        <v> </v>
      </c>
      <c r="N32" s="91">
        <v>22</v>
      </c>
    </row>
    <row r="33" spans="2:14" ht="12" customHeight="1">
      <c r="B33" s="17" t="s">
        <v>76</v>
      </c>
      <c r="E33" s="21">
        <v>23</v>
      </c>
      <c r="F33" s="25"/>
      <c r="G33" s="25"/>
      <c r="H33" s="25"/>
      <c r="I33" s="25"/>
      <c r="J33" s="25"/>
      <c r="K33" s="26">
        <v>0</v>
      </c>
      <c r="L33" s="6">
        <f t="shared" si="2"/>
        <v>0</v>
      </c>
      <c r="M33" s="12" t="str">
        <f t="shared" si="3"/>
        <v> </v>
      </c>
      <c r="N33" s="91">
        <v>23</v>
      </c>
    </row>
    <row r="34" spans="2:18" ht="12" customHeight="1">
      <c r="B34" s="17" t="s">
        <v>27</v>
      </c>
      <c r="E34" s="21">
        <v>24</v>
      </c>
      <c r="F34" s="25"/>
      <c r="G34" s="25"/>
      <c r="H34" s="25"/>
      <c r="I34" s="25"/>
      <c r="J34" s="25"/>
      <c r="K34" s="26">
        <v>0</v>
      </c>
      <c r="L34" s="6">
        <f t="shared" si="2"/>
        <v>0</v>
      </c>
      <c r="M34" s="12" t="str">
        <f t="shared" si="3"/>
        <v> </v>
      </c>
      <c r="N34" s="91">
        <v>24</v>
      </c>
      <c r="R34" s="253"/>
    </row>
    <row r="35" spans="2:14" ht="12" customHeight="1">
      <c r="B35" s="17" t="s">
        <v>152</v>
      </c>
      <c r="E35" s="21">
        <v>25</v>
      </c>
      <c r="F35" s="25"/>
      <c r="G35" s="25"/>
      <c r="H35" s="25"/>
      <c r="I35" s="25"/>
      <c r="J35" s="25"/>
      <c r="K35" s="26">
        <v>0</v>
      </c>
      <c r="L35" s="6">
        <f t="shared" si="2"/>
        <v>0</v>
      </c>
      <c r="M35" s="12" t="str">
        <f t="shared" si="3"/>
        <v> </v>
      </c>
      <c r="N35" s="91">
        <v>25</v>
      </c>
    </row>
    <row r="36" spans="1:14" ht="12" customHeight="1">
      <c r="A36" s="14"/>
      <c r="B36" s="14" t="s">
        <v>28</v>
      </c>
      <c r="C36" s="14"/>
      <c r="D36" s="14"/>
      <c r="E36" s="3">
        <v>26</v>
      </c>
      <c r="F36" s="25"/>
      <c r="G36" s="25"/>
      <c r="H36" s="25"/>
      <c r="I36" s="25"/>
      <c r="J36" s="25"/>
      <c r="K36" s="26">
        <v>0</v>
      </c>
      <c r="L36" s="6">
        <f t="shared" si="2"/>
        <v>0</v>
      </c>
      <c r="M36" s="12" t="str">
        <f t="shared" si="3"/>
        <v> </v>
      </c>
      <c r="N36" s="91">
        <v>26</v>
      </c>
    </row>
    <row r="37" spans="1:14" ht="12" customHeight="1">
      <c r="A37" s="31"/>
      <c r="B37" s="31" t="s">
        <v>88</v>
      </c>
      <c r="C37" s="31"/>
      <c r="D37" s="31"/>
      <c r="E37" s="23">
        <v>27</v>
      </c>
      <c r="F37" s="20">
        <f>SUM(F24:F36)</f>
        <v>25897</v>
      </c>
      <c r="G37" s="20">
        <f>SUM(G24:G36)</f>
        <v>3211</v>
      </c>
      <c r="H37" s="20">
        <f>SUM(H24:H36)</f>
        <v>1300</v>
      </c>
      <c r="I37" s="20">
        <f>SUM(I24:I36)</f>
        <v>1594</v>
      </c>
      <c r="J37" s="20">
        <f>SUM(J24:J36)</f>
        <v>0</v>
      </c>
      <c r="K37" s="20">
        <f>SUM(K25:K36)</f>
        <v>31741</v>
      </c>
      <c r="L37" s="20">
        <f t="shared" si="2"/>
        <v>32002</v>
      </c>
      <c r="M37" s="131">
        <f t="shared" si="3"/>
        <v>0.008</v>
      </c>
      <c r="N37" s="91">
        <v>27</v>
      </c>
    </row>
    <row r="38" spans="1:14" s="14" customFormat="1" ht="0.75" customHeight="1">
      <c r="A38" t="s">
        <v>153</v>
      </c>
      <c r="B38"/>
      <c r="C38"/>
      <c r="D38"/>
      <c r="E38" s="3">
        <v>28</v>
      </c>
      <c r="F38" s="7"/>
      <c r="G38" s="7"/>
      <c r="H38" s="7"/>
      <c r="I38" s="7"/>
      <c r="J38" s="7"/>
      <c r="K38" s="7"/>
      <c r="L38" s="7"/>
      <c r="M38" s="303"/>
      <c r="N38" s="2">
        <v>28</v>
      </c>
    </row>
    <row r="39" spans="1:14" s="14" customFormat="1" ht="12" customHeight="1">
      <c r="A39" s="31" t="s">
        <v>30</v>
      </c>
      <c r="B39" s="31"/>
      <c r="C39" s="31"/>
      <c r="D39" s="31"/>
      <c r="E39" s="23">
        <v>28</v>
      </c>
      <c r="F39" s="25"/>
      <c r="G39" s="25"/>
      <c r="H39" s="25">
        <f>1067+43</f>
        <v>1110</v>
      </c>
      <c r="I39" s="25"/>
      <c r="J39" s="25"/>
      <c r="K39" s="25">
        <v>1067</v>
      </c>
      <c r="L39" s="6">
        <f t="shared" si="2"/>
        <v>1110</v>
      </c>
      <c r="M39" s="12">
        <f t="shared" si="3"/>
        <v>0.04</v>
      </c>
      <c r="N39" s="91">
        <v>28</v>
      </c>
    </row>
    <row r="40" spans="1:14" ht="12" customHeight="1">
      <c r="A40" s="31" t="s">
        <v>31</v>
      </c>
      <c r="B40" s="31"/>
      <c r="C40" s="31"/>
      <c r="D40" s="31"/>
      <c r="E40" s="5">
        <v>29</v>
      </c>
      <c r="F40" s="25"/>
      <c r="G40" s="25"/>
      <c r="H40" s="25"/>
      <c r="I40" s="25"/>
      <c r="J40" s="25"/>
      <c r="K40" s="26">
        <v>0</v>
      </c>
      <c r="L40" s="6">
        <f>SUM(F40:J40)</f>
        <v>0</v>
      </c>
      <c r="M40" s="12" t="str">
        <f t="shared" si="3"/>
        <v> </v>
      </c>
      <c r="N40" s="91">
        <v>29</v>
      </c>
    </row>
    <row r="41" spans="1:14" ht="12" customHeight="1">
      <c r="A41" s="31" t="s">
        <v>154</v>
      </c>
      <c r="B41" s="31"/>
      <c r="C41" s="31"/>
      <c r="D41" s="31"/>
      <c r="E41" s="5">
        <v>30</v>
      </c>
      <c r="F41" s="25"/>
      <c r="G41" s="25"/>
      <c r="H41" s="25"/>
      <c r="I41" s="25"/>
      <c r="J41" s="25"/>
      <c r="K41" s="26">
        <v>0</v>
      </c>
      <c r="L41" s="6">
        <f t="shared" si="2"/>
        <v>0</v>
      </c>
      <c r="M41" s="12" t="str">
        <f t="shared" si="3"/>
        <v> </v>
      </c>
      <c r="N41" s="91">
        <v>30</v>
      </c>
    </row>
    <row r="42" spans="1:14" ht="12" customHeight="1">
      <c r="A42" s="266" t="s">
        <v>218</v>
      </c>
      <c r="B42" s="261"/>
      <c r="C42" s="261"/>
      <c r="D42" s="261"/>
      <c r="E42" s="5">
        <v>31</v>
      </c>
      <c r="F42" s="25"/>
      <c r="G42" s="25"/>
      <c r="H42" s="25"/>
      <c r="I42" s="25"/>
      <c r="J42" s="25"/>
      <c r="K42" s="26">
        <v>0</v>
      </c>
      <c r="L42" s="6">
        <f t="shared" si="2"/>
        <v>0</v>
      </c>
      <c r="M42" s="12" t="str">
        <f t="shared" si="3"/>
        <v> </v>
      </c>
      <c r="N42" s="91">
        <v>31</v>
      </c>
    </row>
    <row r="43" spans="1:14" ht="12" customHeight="1">
      <c r="A43" s="31"/>
      <c r="B43" s="137" t="s">
        <v>295</v>
      </c>
      <c r="C43" s="31"/>
      <c r="D43" s="31"/>
      <c r="E43" s="5">
        <v>32</v>
      </c>
      <c r="F43" s="6">
        <f aca="true" t="shared" si="4" ref="F43:K43">SUM(F37:F42)+F23</f>
        <v>187688</v>
      </c>
      <c r="G43" s="6">
        <f t="shared" si="4"/>
        <v>35936</v>
      </c>
      <c r="H43" s="6">
        <f t="shared" si="4"/>
        <v>232939</v>
      </c>
      <c r="I43" s="6">
        <f t="shared" si="4"/>
        <v>13399</v>
      </c>
      <c r="J43" s="6">
        <f t="shared" si="4"/>
        <v>2740</v>
      </c>
      <c r="K43" s="6">
        <f t="shared" si="4"/>
        <v>431171</v>
      </c>
      <c r="L43" s="6">
        <f>SUM(F43:J43)</f>
        <v>472702</v>
      </c>
      <c r="M43" s="12">
        <f t="shared" si="3"/>
        <v>0.096</v>
      </c>
      <c r="N43" s="91">
        <v>32</v>
      </c>
    </row>
    <row r="44" spans="1:14" ht="12" customHeight="1">
      <c r="A44" s="137" t="s">
        <v>284</v>
      </c>
      <c r="B44" s="31"/>
      <c r="C44" s="31"/>
      <c r="D44" s="31"/>
      <c r="E44" s="5">
        <v>33</v>
      </c>
      <c r="F44" s="6">
        <f>TotalCSP6100</f>
        <v>41407</v>
      </c>
      <c r="G44" s="6">
        <f>TotalCSP6200</f>
        <v>0</v>
      </c>
      <c r="H44" s="6">
        <f>TotalCSP630064006500</f>
        <v>0</v>
      </c>
      <c r="I44" s="6">
        <f>TotalCSP6600</f>
        <v>0</v>
      </c>
      <c r="J44" s="127"/>
      <c r="K44" s="25">
        <v>12883</v>
      </c>
      <c r="L44" s="6">
        <f>SUM(F44:J44)</f>
        <v>41407</v>
      </c>
      <c r="M44" s="12">
        <f t="shared" si="3"/>
        <v>2.214</v>
      </c>
      <c r="N44" s="91">
        <v>33</v>
      </c>
    </row>
    <row r="45" spans="1:14" ht="12" customHeight="1">
      <c r="A45" s="137" t="s">
        <v>285</v>
      </c>
      <c r="B45" s="31"/>
      <c r="C45" s="31"/>
      <c r="D45" s="31"/>
      <c r="E45" s="5">
        <v>34</v>
      </c>
      <c r="F45" s="127"/>
      <c r="G45" s="127"/>
      <c r="H45" s="127"/>
      <c r="I45" s="127"/>
      <c r="J45" s="127"/>
      <c r="K45" s="25">
        <v>3612</v>
      </c>
      <c r="L45" s="6">
        <f>TotalInstructionalImprovement</f>
        <v>3612</v>
      </c>
      <c r="M45" s="12">
        <f t="shared" si="3"/>
        <v>0</v>
      </c>
      <c r="N45" s="91">
        <v>34</v>
      </c>
    </row>
    <row r="46" spans="1:14" ht="12" customHeight="1">
      <c r="A46" s="137" t="s">
        <v>286</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287</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6" t="s">
        <v>219</v>
      </c>
      <c r="B48" s="261"/>
      <c r="C48" s="261"/>
      <c r="D48" s="261"/>
      <c r="E48" s="271">
        <v>37</v>
      </c>
      <c r="F48" s="127"/>
      <c r="G48" s="127"/>
      <c r="H48" s="127"/>
      <c r="I48" s="127"/>
      <c r="J48" s="127"/>
      <c r="K48" s="26">
        <v>113830</v>
      </c>
      <c r="L48" s="6">
        <f>FederalandStateProjectsTotal</f>
        <v>114969</v>
      </c>
      <c r="M48" s="12">
        <f t="shared" si="3"/>
        <v>0.01</v>
      </c>
      <c r="N48" s="91">
        <v>37</v>
      </c>
    </row>
    <row r="49" spans="1:14" ht="12" customHeight="1">
      <c r="A49" s="96"/>
      <c r="B49" s="137" t="s">
        <v>303</v>
      </c>
      <c r="C49" s="31"/>
      <c r="D49" s="31"/>
      <c r="E49" s="5">
        <v>38</v>
      </c>
      <c r="F49" s="13">
        <f>SUM(F43+F44+F46+F47)</f>
        <v>229095</v>
      </c>
      <c r="G49" s="13">
        <f>SUM(G43+G44+G46+G47)</f>
        <v>35936</v>
      </c>
      <c r="H49" s="13">
        <f>SUM(H43+H44+H46+H47)</f>
        <v>232939</v>
      </c>
      <c r="I49" s="13">
        <f>SUM(I43+I44+I46+I47)</f>
        <v>13399</v>
      </c>
      <c r="J49" s="13">
        <f>SUM(J43+J46+J47)</f>
        <v>2740</v>
      </c>
      <c r="K49" s="10">
        <f>SUM(K43:K48)</f>
        <v>561496</v>
      </c>
      <c r="L49" s="10">
        <f>SUM(L43:L48)</f>
        <v>632690</v>
      </c>
      <c r="M49" s="12">
        <f>IF(K49=0," ",(L49-K49)/K49)</f>
        <v>0.127</v>
      </c>
      <c r="N49" s="91">
        <v>38</v>
      </c>
    </row>
    <row r="52" ht="12.75" customHeight="1">
      <c r="F52" s="253"/>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5/16&amp;C&amp;"Arial,Bold"FY 2017&amp;R&amp;"Arial,Bold"Page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49"/>
  <sheetViews>
    <sheetView showGridLines="0" zoomScale="80" zoomScaleNormal="80" workbookViewId="0" topLeftCell="A1">
      <selection activeCell="N6" sqref="N6"/>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13.71093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49" t="str">
        <f>Cover!D1</f>
        <v>James Sandoval Preparatory High School</v>
      </c>
      <c r="D1" s="350"/>
      <c r="E1" s="350"/>
      <c r="F1" s="350"/>
      <c r="H1" s="114" t="s">
        <v>1</v>
      </c>
      <c r="I1" s="351" t="str">
        <f>Cover!M1</f>
        <v>Maricopa</v>
      </c>
      <c r="J1" s="352"/>
      <c r="K1" s="352"/>
      <c r="M1" s="48" t="s">
        <v>91</v>
      </c>
      <c r="N1" s="263" t="str">
        <f>Cover!R1</f>
        <v>078928000</v>
      </c>
      <c r="P1" s="113"/>
      <c r="Q1" s="113"/>
      <c r="R1" s="113"/>
      <c r="S1" s="113"/>
      <c r="T1" s="113"/>
      <c r="U1" s="113"/>
      <c r="V1" s="113"/>
      <c r="W1" s="113"/>
      <c r="X1" s="113"/>
    </row>
    <row r="2" spans="1:24" ht="7.5" customHeight="1">
      <c r="A2" s="115"/>
      <c r="B2" s="36"/>
      <c r="C2" s="36"/>
      <c r="D2" s="60"/>
      <c r="E2" s="60"/>
      <c r="H2" s="250"/>
      <c r="I2" s="248"/>
      <c r="J2" s="248"/>
      <c r="K2" s="248"/>
      <c r="L2" s="248"/>
      <c r="M2" s="248"/>
      <c r="N2" s="248"/>
      <c r="O2" s="35"/>
      <c r="P2" s="113"/>
      <c r="Q2" s="113"/>
      <c r="R2" s="113"/>
      <c r="S2" s="113"/>
      <c r="T2" s="113"/>
      <c r="U2" s="113"/>
      <c r="V2" s="113"/>
      <c r="W2" s="113"/>
      <c r="X2" s="113"/>
    </row>
    <row r="3" spans="1:24" ht="12" customHeight="1">
      <c r="A3" s="314" t="s">
        <v>74</v>
      </c>
      <c r="B3" s="314"/>
      <c r="C3" s="314"/>
      <c r="D3" s="276"/>
      <c r="E3" s="276"/>
      <c r="H3" s="267" t="s">
        <v>57</v>
      </c>
      <c r="I3" s="260"/>
      <c r="J3" s="260"/>
      <c r="K3" s="260"/>
      <c r="L3" s="260"/>
      <c r="M3" s="260"/>
      <c r="N3" s="260"/>
      <c r="O3" s="35"/>
      <c r="P3" s="113"/>
      <c r="Q3" s="348"/>
      <c r="R3" s="348"/>
      <c r="S3" s="113"/>
      <c r="T3" s="113"/>
      <c r="U3" s="113"/>
      <c r="V3" s="113"/>
      <c r="W3" s="113"/>
      <c r="X3" s="113"/>
    </row>
    <row r="4" spans="1:24" ht="40.5" customHeight="1">
      <c r="A4" t="s">
        <v>32</v>
      </c>
      <c r="B4"/>
      <c r="C4"/>
      <c r="D4" s="141" t="s">
        <v>261</v>
      </c>
      <c r="E4" s="141" t="s">
        <v>262</v>
      </c>
      <c r="H4" s="36"/>
      <c r="I4" s="36"/>
      <c r="J4" s="36"/>
      <c r="K4" s="36"/>
      <c r="M4" s="141" t="s">
        <v>263</v>
      </c>
      <c r="N4" s="141" t="s">
        <v>264</v>
      </c>
      <c r="O4" s="18"/>
      <c r="P4" s="113"/>
      <c r="Q4" s="348"/>
      <c r="R4" s="348"/>
      <c r="S4" s="113"/>
      <c r="T4" s="113"/>
      <c r="U4" s="113"/>
      <c r="V4" s="113"/>
      <c r="W4" s="113"/>
      <c r="X4" s="113"/>
    </row>
    <row r="5" spans="1:24" ht="12" customHeight="1">
      <c r="A5" s="154">
        <v>1</v>
      </c>
      <c r="B5" s="156" t="s">
        <v>183</v>
      </c>
      <c r="C5" s="155"/>
      <c r="D5" s="149">
        <v>0</v>
      </c>
      <c r="E5" s="149"/>
      <c r="F5" s="117">
        <v>1</v>
      </c>
      <c r="G5" s="158">
        <v>1</v>
      </c>
      <c r="H5" s="272" t="s">
        <v>290</v>
      </c>
      <c r="I5" s="272"/>
      <c r="J5" s="293"/>
      <c r="K5" s="155"/>
      <c r="M5" s="150">
        <v>31741</v>
      </c>
      <c r="N5" s="150">
        <v>32002</v>
      </c>
      <c r="O5" s="32">
        <v>1</v>
      </c>
      <c r="P5" s="113"/>
      <c r="Q5" s="113"/>
      <c r="R5" s="275"/>
      <c r="S5" s="275"/>
      <c r="T5" s="113"/>
      <c r="U5" s="113"/>
      <c r="V5" s="113"/>
      <c r="W5" s="113"/>
      <c r="X5" s="113"/>
    </row>
    <row r="6" spans="1:24" ht="12" customHeight="1">
      <c r="A6" s="154">
        <v>2</v>
      </c>
      <c r="B6" s="156" t="s">
        <v>184</v>
      </c>
      <c r="C6" s="155"/>
      <c r="D6" s="149">
        <v>0</v>
      </c>
      <c r="E6" s="149"/>
      <c r="F6" s="117">
        <v>2</v>
      </c>
      <c r="G6" s="158">
        <v>2</v>
      </c>
      <c r="H6" s="155" t="s">
        <v>34</v>
      </c>
      <c r="I6" s="155"/>
      <c r="J6" s="155"/>
      <c r="K6" s="155"/>
      <c r="M6" s="150">
        <v>0</v>
      </c>
      <c r="N6" s="150"/>
      <c r="O6" s="32">
        <v>2</v>
      </c>
      <c r="P6" s="113"/>
      <c r="Q6" s="113"/>
      <c r="R6" s="275"/>
      <c r="S6" s="275"/>
      <c r="T6" s="113"/>
      <c r="U6" s="113"/>
      <c r="V6" s="113"/>
      <c r="W6" s="113"/>
      <c r="X6" s="113"/>
    </row>
    <row r="7" spans="1:24" ht="12" customHeight="1">
      <c r="A7" s="154">
        <v>3</v>
      </c>
      <c r="B7" s="156" t="s">
        <v>185</v>
      </c>
      <c r="C7" s="155"/>
      <c r="D7" s="149">
        <v>0</v>
      </c>
      <c r="E7" s="149"/>
      <c r="F7" s="117">
        <v>3</v>
      </c>
      <c r="G7" s="158">
        <v>3</v>
      </c>
      <c r="H7" s="155" t="s">
        <v>147</v>
      </c>
      <c r="I7" s="155"/>
      <c r="J7" s="155"/>
      <c r="K7" s="155"/>
      <c r="M7" s="149">
        <v>0</v>
      </c>
      <c r="N7" s="149"/>
      <c r="O7" s="32">
        <v>3</v>
      </c>
      <c r="P7" s="113"/>
      <c r="Q7" s="113"/>
      <c r="R7" s="275"/>
      <c r="S7" s="275"/>
      <c r="T7" s="113"/>
      <c r="U7" s="113"/>
      <c r="V7" s="113"/>
      <c r="W7" s="113"/>
      <c r="X7" s="113"/>
    </row>
    <row r="8" spans="1:24" ht="12" customHeight="1">
      <c r="A8" s="154">
        <v>4</v>
      </c>
      <c r="B8" s="156" t="s">
        <v>186</v>
      </c>
      <c r="C8" s="155"/>
      <c r="D8" s="149">
        <v>0</v>
      </c>
      <c r="E8" s="149"/>
      <c r="F8" s="117">
        <v>4</v>
      </c>
      <c r="G8" s="158">
        <v>4</v>
      </c>
      <c r="H8" s="155" t="s">
        <v>148</v>
      </c>
      <c r="I8" s="155"/>
      <c r="J8" s="155"/>
      <c r="K8" s="155"/>
      <c r="M8" s="149">
        <v>0</v>
      </c>
      <c r="N8" s="149"/>
      <c r="O8" s="32">
        <v>4</v>
      </c>
      <c r="P8" s="113"/>
      <c r="Q8" s="113"/>
      <c r="R8" s="275"/>
      <c r="S8" s="275"/>
      <c r="T8" s="113"/>
      <c r="U8" s="113"/>
      <c r="V8" s="113"/>
      <c r="W8" s="113"/>
      <c r="X8" s="113"/>
    </row>
    <row r="9" spans="1:24" ht="12" customHeight="1">
      <c r="A9" s="154">
        <v>5</v>
      </c>
      <c r="B9" s="156" t="s">
        <v>187</v>
      </c>
      <c r="C9" s="155"/>
      <c r="D9" s="149">
        <v>0</v>
      </c>
      <c r="E9" s="149"/>
      <c r="F9" s="117">
        <v>5</v>
      </c>
      <c r="G9" s="158">
        <v>5</v>
      </c>
      <c r="H9" s="155" t="s">
        <v>35</v>
      </c>
      <c r="I9" s="155"/>
      <c r="J9" s="155"/>
      <c r="K9" s="155"/>
      <c r="M9" s="149">
        <v>0</v>
      </c>
      <c r="N9" s="149"/>
      <c r="O9" s="32">
        <v>5</v>
      </c>
      <c r="P9" s="113"/>
      <c r="Q9" s="113"/>
      <c r="R9" s="275"/>
      <c r="S9" s="275"/>
      <c r="T9" s="113"/>
      <c r="U9" s="113"/>
      <c r="V9" s="113"/>
      <c r="W9" s="113"/>
      <c r="X9" s="113"/>
    </row>
    <row r="10" spans="1:24" ht="12" customHeight="1">
      <c r="A10" s="154">
        <v>6</v>
      </c>
      <c r="B10" s="156" t="s">
        <v>188</v>
      </c>
      <c r="C10" s="155"/>
      <c r="D10" s="149">
        <v>0</v>
      </c>
      <c r="E10" s="149"/>
      <c r="F10" s="117">
        <v>6</v>
      </c>
      <c r="G10" s="158">
        <v>6</v>
      </c>
      <c r="H10" s="155" t="s">
        <v>181</v>
      </c>
      <c r="I10" s="155"/>
      <c r="J10" s="155"/>
      <c r="K10" s="155"/>
      <c r="M10" s="149">
        <v>0</v>
      </c>
      <c r="N10" s="149"/>
      <c r="O10" s="32">
        <v>6</v>
      </c>
      <c r="P10" s="113"/>
      <c r="Q10" s="113"/>
      <c r="R10" s="275"/>
      <c r="S10" s="275"/>
      <c r="T10" s="113"/>
      <c r="U10" s="113"/>
      <c r="V10" s="113"/>
      <c r="W10" s="113"/>
      <c r="X10" s="113"/>
    </row>
    <row r="11" spans="1:24" ht="12" customHeight="1">
      <c r="A11" s="154">
        <v>7</v>
      </c>
      <c r="B11" s="156" t="s">
        <v>189</v>
      </c>
      <c r="C11" s="155"/>
      <c r="D11" s="149">
        <v>0</v>
      </c>
      <c r="E11" s="149"/>
      <c r="F11" s="117">
        <v>7</v>
      </c>
      <c r="G11" s="158">
        <v>7</v>
      </c>
      <c r="H11" s="155" t="s">
        <v>36</v>
      </c>
      <c r="I11" s="155"/>
      <c r="J11" s="155"/>
      <c r="K11" s="155"/>
      <c r="M11" s="149">
        <v>0</v>
      </c>
      <c r="N11" s="149"/>
      <c r="O11" s="32">
        <v>7</v>
      </c>
      <c r="P11" s="113"/>
      <c r="Q11" s="113"/>
      <c r="R11" s="275"/>
      <c r="S11" s="275"/>
      <c r="T11" s="113"/>
      <c r="U11" s="113"/>
      <c r="V11" s="113"/>
      <c r="W11" s="113"/>
      <c r="X11" s="113"/>
    </row>
    <row r="12" spans="1:24" ht="12" customHeight="1">
      <c r="A12" s="154">
        <v>8</v>
      </c>
      <c r="B12" s="155" t="s">
        <v>47</v>
      </c>
      <c r="C12" s="155"/>
      <c r="D12" s="149">
        <v>11958</v>
      </c>
      <c r="E12" s="149">
        <f>11958+120</f>
        <v>12078</v>
      </c>
      <c r="F12" s="117">
        <v>8</v>
      </c>
      <c r="G12" s="158">
        <v>8</v>
      </c>
      <c r="H12" s="272" t="s">
        <v>289</v>
      </c>
      <c r="I12" s="272"/>
      <c r="J12" s="293"/>
      <c r="K12" s="155"/>
      <c r="M12" s="295">
        <f>SUM(M5:M11)</f>
        <v>31741</v>
      </c>
      <c r="N12" s="295">
        <f>SUM(N5:N11)</f>
        <v>32002</v>
      </c>
      <c r="O12" s="32">
        <v>8</v>
      </c>
      <c r="P12" s="113"/>
      <c r="Q12" s="113"/>
      <c r="R12" s="275"/>
      <c r="S12" s="275"/>
      <c r="T12" s="113"/>
      <c r="U12" s="113"/>
      <c r="V12" s="113"/>
      <c r="W12" s="113"/>
      <c r="X12" s="113"/>
    </row>
    <row r="13" spans="1:24" ht="12" customHeight="1">
      <c r="A13" s="154">
        <v>9</v>
      </c>
      <c r="B13" s="155" t="s">
        <v>48</v>
      </c>
      <c r="C13" s="155"/>
      <c r="D13" s="149">
        <v>0</v>
      </c>
      <c r="E13" s="149"/>
      <c r="F13" s="117">
        <v>9</v>
      </c>
      <c r="G13" s="158"/>
      <c r="H13" s="156"/>
      <c r="I13" s="155"/>
      <c r="J13" s="155"/>
      <c r="K13" s="155"/>
      <c r="M13" s="161"/>
      <c r="N13" s="161"/>
      <c r="O13" s="32"/>
      <c r="P13" s="113"/>
      <c r="Q13" s="113"/>
      <c r="R13" s="275"/>
      <c r="S13" s="275"/>
      <c r="T13" s="113"/>
      <c r="U13" s="113"/>
      <c r="V13" s="113"/>
      <c r="W13" s="113"/>
      <c r="X13" s="113"/>
    </row>
    <row r="14" spans="1:24" ht="12" customHeight="1">
      <c r="A14" s="154">
        <v>10</v>
      </c>
      <c r="B14" s="155" t="s">
        <v>133</v>
      </c>
      <c r="C14" s="155"/>
      <c r="D14" s="149">
        <v>0</v>
      </c>
      <c r="E14" s="149"/>
      <c r="F14" s="117">
        <v>10</v>
      </c>
      <c r="G14" s="158"/>
      <c r="H14" s="113"/>
      <c r="I14" s="155"/>
      <c r="J14" s="155"/>
      <c r="K14" s="155"/>
      <c r="M14" s="161"/>
      <c r="N14" s="161"/>
      <c r="O14" s="32"/>
      <c r="P14" s="113"/>
      <c r="Q14" s="113"/>
      <c r="R14" s="275"/>
      <c r="S14" s="275"/>
      <c r="T14" s="113"/>
      <c r="U14" s="113"/>
      <c r="V14" s="113"/>
      <c r="W14" s="113"/>
      <c r="X14" s="113"/>
    </row>
    <row r="15" spans="1:24" ht="12" customHeight="1">
      <c r="A15" s="154">
        <v>11</v>
      </c>
      <c r="B15" s="156" t="s">
        <v>190</v>
      </c>
      <c r="C15" s="155"/>
      <c r="D15" s="149">
        <v>0</v>
      </c>
      <c r="E15" s="149"/>
      <c r="F15" s="117">
        <v>11</v>
      </c>
      <c r="G15" s="158"/>
      <c r="H15" s="113"/>
      <c r="I15" s="155"/>
      <c r="J15" s="155"/>
      <c r="K15" s="155"/>
      <c r="M15" s="7"/>
      <c r="N15" s="161"/>
      <c r="O15" s="32"/>
      <c r="P15" s="113"/>
      <c r="Q15" s="113"/>
      <c r="R15" s="275"/>
      <c r="S15" s="275"/>
      <c r="T15" s="113"/>
      <c r="U15" s="113"/>
      <c r="V15" s="113"/>
      <c r="W15" s="113"/>
      <c r="X15" s="113"/>
    </row>
    <row r="16" spans="1:24" ht="12" customHeight="1">
      <c r="A16" s="154">
        <v>12</v>
      </c>
      <c r="B16" s="156" t="s">
        <v>191</v>
      </c>
      <c r="C16" s="155"/>
      <c r="D16" s="149">
        <v>0</v>
      </c>
      <c r="E16" s="149"/>
      <c r="F16" s="117">
        <v>12</v>
      </c>
      <c r="G16" s="158"/>
      <c r="H16" s="155"/>
      <c r="I16" s="155"/>
      <c r="J16" s="155"/>
      <c r="K16" s="155"/>
      <c r="M16" s="161"/>
      <c r="N16" s="161"/>
      <c r="O16" s="32"/>
      <c r="P16" s="113"/>
      <c r="Q16" s="113"/>
      <c r="R16" s="275"/>
      <c r="S16" s="275"/>
      <c r="T16" s="113"/>
      <c r="U16" s="113"/>
      <c r="V16" s="113"/>
      <c r="W16" s="113"/>
      <c r="X16" s="113"/>
    </row>
    <row r="17" spans="1:24" ht="12" customHeight="1">
      <c r="A17" s="154">
        <v>13</v>
      </c>
      <c r="B17" s="156" t="s">
        <v>192</v>
      </c>
      <c r="C17" s="155"/>
      <c r="D17" s="149">
        <v>0</v>
      </c>
      <c r="E17" s="149"/>
      <c r="F17" s="117">
        <v>13</v>
      </c>
      <c r="G17" s="158"/>
      <c r="H17" s="155"/>
      <c r="I17" s="155"/>
      <c r="J17" s="155"/>
      <c r="K17" s="155"/>
      <c r="M17" s="161"/>
      <c r="N17" s="161"/>
      <c r="O17" s="32"/>
      <c r="P17" s="113"/>
      <c r="Q17" s="113"/>
      <c r="R17" s="275"/>
      <c r="S17" s="275"/>
      <c r="T17" s="113"/>
      <c r="U17" s="113"/>
      <c r="V17" s="113"/>
      <c r="W17" s="113"/>
      <c r="X17" s="113"/>
    </row>
    <row r="18" spans="1:24" ht="12" customHeight="1">
      <c r="A18" s="154">
        <v>14</v>
      </c>
      <c r="B18" s="156" t="s">
        <v>67</v>
      </c>
      <c r="C18" s="155"/>
      <c r="D18" s="149">
        <v>0</v>
      </c>
      <c r="E18" s="149"/>
      <c r="F18" s="117">
        <v>14</v>
      </c>
      <c r="G18" s="158"/>
      <c r="H18" s="267" t="s">
        <v>176</v>
      </c>
      <c r="I18" s="260"/>
      <c r="J18" s="260"/>
      <c r="K18" s="260"/>
      <c r="L18" s="260"/>
      <c r="M18" s="161"/>
      <c r="N18" s="161"/>
      <c r="O18" s="32"/>
      <c r="P18" s="113"/>
      <c r="Q18" s="113"/>
      <c r="R18" s="275"/>
      <c r="S18" s="275"/>
      <c r="T18" s="113"/>
      <c r="U18" s="113"/>
      <c r="V18" s="113"/>
      <c r="W18" s="113"/>
      <c r="X18" s="113"/>
    </row>
    <row r="19" spans="1:24" ht="12" customHeight="1">
      <c r="A19" s="154">
        <v>15</v>
      </c>
      <c r="B19" s="155" t="s">
        <v>75</v>
      </c>
      <c r="C19" s="155"/>
      <c r="D19" s="150">
        <v>0</v>
      </c>
      <c r="E19" s="150"/>
      <c r="F19" s="117">
        <v>15</v>
      </c>
      <c r="G19" s="159"/>
      <c r="H19" s="159" t="s">
        <v>136</v>
      </c>
      <c r="I19" s="14"/>
      <c r="M19" s="291"/>
      <c r="N19" s="290"/>
      <c r="O19" s="32"/>
      <c r="P19" s="113"/>
      <c r="Q19" s="113"/>
      <c r="R19" s="275"/>
      <c r="S19" s="275"/>
      <c r="T19" s="113"/>
      <c r="U19" s="113"/>
      <c r="V19" s="113"/>
      <c r="W19" s="113"/>
      <c r="X19" s="113"/>
    </row>
    <row r="20" spans="1:24" ht="12" customHeight="1">
      <c r="A20" s="154">
        <v>16</v>
      </c>
      <c r="B20" s="156" t="s">
        <v>275</v>
      </c>
      <c r="C20" s="155"/>
      <c r="D20" s="305"/>
      <c r="E20" s="285"/>
      <c r="F20" s="117">
        <v>16</v>
      </c>
      <c r="G20" s="158"/>
      <c r="H20" s="35"/>
      <c r="I20" s="35"/>
      <c r="M20" s="355" t="s">
        <v>265</v>
      </c>
      <c r="N20" s="355" t="s">
        <v>262</v>
      </c>
      <c r="O20" s="32"/>
      <c r="P20" s="113"/>
      <c r="Q20" s="113"/>
      <c r="R20" s="275"/>
      <c r="S20" s="275"/>
      <c r="T20" s="113"/>
      <c r="U20" s="113"/>
      <c r="V20" s="113"/>
      <c r="W20" s="113"/>
      <c r="X20" s="113"/>
    </row>
    <row r="21" spans="1:24" ht="12" customHeight="1" thickBot="1">
      <c r="A21" s="154">
        <v>17</v>
      </c>
      <c r="B21" s="155" t="s">
        <v>71</v>
      </c>
      <c r="C21" s="155"/>
      <c r="D21" s="151">
        <v>101872</v>
      </c>
      <c r="E21" s="151">
        <f>101872+1019</f>
        <v>102891</v>
      </c>
      <c r="F21" s="117">
        <v>17</v>
      </c>
      <c r="G21" s="154"/>
      <c r="H21" s="159"/>
      <c r="I21" s="159"/>
      <c r="J21" s="155"/>
      <c r="K21" s="155"/>
      <c r="M21" s="355"/>
      <c r="N21" s="355"/>
      <c r="O21" s="32"/>
      <c r="P21" s="113"/>
      <c r="Q21" s="113"/>
      <c r="R21" s="275"/>
      <c r="S21" s="275"/>
      <c r="T21" s="113"/>
      <c r="U21" s="113"/>
      <c r="V21" s="113"/>
      <c r="W21" s="113"/>
      <c r="X21" s="113"/>
    </row>
    <row r="22" spans="1:24" ht="12" customHeight="1" thickBot="1">
      <c r="A22" s="154">
        <v>18</v>
      </c>
      <c r="B22" s="156" t="s">
        <v>272</v>
      </c>
      <c r="C22" s="155"/>
      <c r="D22" s="153">
        <f>SUM(D5:D21)</f>
        <v>113830</v>
      </c>
      <c r="E22" s="153">
        <f>SUM(E5:E21)</f>
        <v>114969</v>
      </c>
      <c r="F22" s="117">
        <v>18</v>
      </c>
      <c r="G22" s="154" t="s">
        <v>44</v>
      </c>
      <c r="H22" s="159" t="s">
        <v>134</v>
      </c>
      <c r="I22" s="159"/>
      <c r="J22" s="155"/>
      <c r="K22" s="155"/>
      <c r="M22" s="150">
        <v>0</v>
      </c>
      <c r="N22" s="150"/>
      <c r="O22" s="154" t="s">
        <v>44</v>
      </c>
      <c r="P22" s="113"/>
      <c r="Q22" s="113"/>
      <c r="R22" s="275"/>
      <c r="S22" s="275"/>
      <c r="T22" s="113"/>
      <c r="U22" s="113"/>
      <c r="V22" s="113"/>
      <c r="W22" s="113"/>
      <c r="X22" s="113"/>
    </row>
    <row r="23" spans="1:24" ht="12" customHeight="1" thickTop="1">
      <c r="A23" s="157" t="s">
        <v>33</v>
      </c>
      <c r="B23" s="155"/>
      <c r="C23" s="155"/>
      <c r="D23" s="195"/>
      <c r="E23" s="196"/>
      <c r="F23" s="117"/>
      <c r="G23" s="154" t="s">
        <v>45</v>
      </c>
      <c r="H23" s="160" t="s">
        <v>135</v>
      </c>
      <c r="I23" s="160"/>
      <c r="J23" s="289"/>
      <c r="K23" s="292"/>
      <c r="M23" s="150">
        <v>0</v>
      </c>
      <c r="N23" s="150"/>
      <c r="O23" s="154" t="s">
        <v>45</v>
      </c>
      <c r="P23" s="113"/>
      <c r="Q23" s="113"/>
      <c r="R23" s="275"/>
      <c r="S23" s="275"/>
      <c r="T23" s="113"/>
      <c r="U23" s="113"/>
      <c r="V23" s="113"/>
      <c r="W23" s="113"/>
      <c r="X23" s="113"/>
    </row>
    <row r="24" spans="1:24" ht="12" customHeight="1">
      <c r="A24" s="154">
        <v>19</v>
      </c>
      <c r="B24" s="155" t="s">
        <v>49</v>
      </c>
      <c r="C24" s="155"/>
      <c r="D24" s="194">
        <v>0</v>
      </c>
      <c r="E24" s="194"/>
      <c r="F24" s="117">
        <v>19</v>
      </c>
      <c r="G24" s="154" t="s">
        <v>107</v>
      </c>
      <c r="H24" s="272" t="s">
        <v>237</v>
      </c>
      <c r="I24" s="272"/>
      <c r="J24" s="293"/>
      <c r="K24" s="294"/>
      <c r="M24" s="150">
        <v>0</v>
      </c>
      <c r="N24" s="150"/>
      <c r="O24" s="154" t="s">
        <v>107</v>
      </c>
      <c r="P24" s="113"/>
      <c r="Q24" s="113"/>
      <c r="R24" s="275"/>
      <c r="S24" s="275"/>
      <c r="T24" s="113"/>
      <c r="U24" s="113"/>
      <c r="V24" s="113"/>
      <c r="W24" s="113"/>
      <c r="X24" s="113"/>
    </row>
    <row r="25" spans="1:24" ht="12" customHeight="1" thickBot="1">
      <c r="A25" s="154">
        <v>20</v>
      </c>
      <c r="B25" s="155" t="s">
        <v>68</v>
      </c>
      <c r="C25" s="155"/>
      <c r="D25" s="149">
        <v>0</v>
      </c>
      <c r="E25" s="149"/>
      <c r="F25" s="117">
        <v>20</v>
      </c>
      <c r="G25" s="154" t="s">
        <v>108</v>
      </c>
      <c r="H25" s="272" t="s">
        <v>238</v>
      </c>
      <c r="I25" s="272"/>
      <c r="J25" s="293"/>
      <c r="K25" s="294"/>
      <c r="M25" s="151">
        <v>3612</v>
      </c>
      <c r="N25" s="151">
        <v>3612</v>
      </c>
      <c r="O25" s="154" t="s">
        <v>108</v>
      </c>
      <c r="P25" s="113"/>
      <c r="Q25" s="113"/>
      <c r="R25" s="275"/>
      <c r="S25" s="275"/>
      <c r="T25" s="113"/>
      <c r="U25" s="113"/>
      <c r="V25" s="113"/>
      <c r="W25" s="113"/>
      <c r="X25" s="113"/>
    </row>
    <row r="26" spans="1:24" ht="12" customHeight="1" thickBot="1">
      <c r="A26" s="154">
        <v>21</v>
      </c>
      <c r="B26" s="156" t="s">
        <v>193</v>
      </c>
      <c r="C26" s="155"/>
      <c r="D26" s="149">
        <v>0</v>
      </c>
      <c r="E26" s="149"/>
      <c r="F26" s="117">
        <v>21</v>
      </c>
      <c r="G26" s="154" t="s">
        <v>109</v>
      </c>
      <c r="H26" s="159" t="s">
        <v>137</v>
      </c>
      <c r="I26" s="159"/>
      <c r="J26" s="155"/>
      <c r="K26" s="155"/>
      <c r="M26" s="153">
        <f>SUM(M22:M25)</f>
        <v>3612</v>
      </c>
      <c r="N26" s="153">
        <f>SUM(N22:N25)</f>
        <v>3612</v>
      </c>
      <c r="O26" s="154" t="s">
        <v>109</v>
      </c>
      <c r="P26" s="113"/>
      <c r="Q26" s="113"/>
      <c r="R26" s="275"/>
      <c r="S26" s="275"/>
      <c r="T26" s="113"/>
      <c r="U26" s="113"/>
      <c r="V26" s="113"/>
      <c r="W26" s="113"/>
      <c r="X26" s="113"/>
    </row>
    <row r="27" spans="1:24" ht="12" customHeight="1" thickTop="1">
      <c r="A27" s="154">
        <v>22</v>
      </c>
      <c r="B27" s="155" t="s">
        <v>50</v>
      </c>
      <c r="C27" s="155"/>
      <c r="D27" s="149">
        <v>0</v>
      </c>
      <c r="E27" s="149"/>
      <c r="F27" s="117">
        <v>22</v>
      </c>
      <c r="G27" s="283"/>
      <c r="H27" s="289"/>
      <c r="I27" s="289"/>
      <c r="J27" s="289"/>
      <c r="K27" s="155"/>
      <c r="M27" s="161"/>
      <c r="N27" s="161"/>
      <c r="O27" s="32"/>
      <c r="P27" s="113"/>
      <c r="Q27" s="113"/>
      <c r="R27" s="275"/>
      <c r="S27" s="275"/>
      <c r="T27" s="113"/>
      <c r="U27" s="113"/>
      <c r="V27" s="113"/>
      <c r="W27" s="113"/>
      <c r="X27" s="113"/>
    </row>
    <row r="28" spans="1:24" ht="12" customHeight="1">
      <c r="A28" s="154">
        <v>23</v>
      </c>
      <c r="B28" s="155" t="s">
        <v>51</v>
      </c>
      <c r="C28" s="155"/>
      <c r="D28" s="149">
        <v>0</v>
      </c>
      <c r="E28" s="149"/>
      <c r="F28" s="117">
        <v>23</v>
      </c>
      <c r="H28" s="113"/>
      <c r="P28" s="113"/>
      <c r="Q28" s="113"/>
      <c r="R28" s="113"/>
      <c r="S28" s="113"/>
      <c r="T28" s="113"/>
      <c r="U28" s="113"/>
      <c r="V28" s="113"/>
      <c r="W28" s="113"/>
      <c r="X28" s="113"/>
    </row>
    <row r="29" spans="1:24" ht="12" customHeight="1">
      <c r="A29" s="154">
        <v>24</v>
      </c>
      <c r="B29" s="155" t="s">
        <v>52</v>
      </c>
      <c r="C29" s="155"/>
      <c r="D29" s="149">
        <v>0</v>
      </c>
      <c r="E29" s="149"/>
      <c r="F29" s="117">
        <v>24</v>
      </c>
      <c r="H29" s="113"/>
      <c r="P29" s="113"/>
      <c r="Q29" s="113"/>
      <c r="R29" s="113"/>
      <c r="S29" s="113"/>
      <c r="T29" s="113"/>
      <c r="U29" s="113"/>
      <c r="V29" s="113"/>
      <c r="W29" s="113"/>
      <c r="X29" s="113"/>
    </row>
    <row r="30" spans="1:24" ht="12" customHeight="1">
      <c r="A30" s="154">
        <v>25</v>
      </c>
      <c r="B30" s="155" t="s">
        <v>155</v>
      </c>
      <c r="C30" s="155"/>
      <c r="D30" s="149">
        <v>0</v>
      </c>
      <c r="E30" s="149"/>
      <c r="F30" s="117">
        <v>25</v>
      </c>
      <c r="H30" s="142"/>
      <c r="O30" s="118"/>
      <c r="P30" s="113"/>
      <c r="Q30" s="113"/>
      <c r="R30" s="113"/>
      <c r="S30" s="113"/>
      <c r="T30" s="113"/>
      <c r="U30" s="113"/>
      <c r="V30" s="113"/>
      <c r="W30" s="113"/>
      <c r="X30" s="113"/>
    </row>
    <row r="31" spans="1:24" ht="12" customHeight="1">
      <c r="A31" s="154">
        <v>26</v>
      </c>
      <c r="B31" s="155" t="s">
        <v>53</v>
      </c>
      <c r="C31" s="155"/>
      <c r="D31" s="149">
        <v>0</v>
      </c>
      <c r="E31" s="149"/>
      <c r="F31" s="117">
        <v>26</v>
      </c>
      <c r="O31" s="35"/>
      <c r="P31" s="113"/>
      <c r="Q31" s="113"/>
      <c r="R31" s="113"/>
      <c r="S31" s="113"/>
      <c r="T31" s="113"/>
      <c r="U31" s="113"/>
      <c r="V31" s="113"/>
      <c r="W31" s="113"/>
      <c r="X31" s="113"/>
    </row>
    <row r="32" spans="1:24" ht="12" customHeight="1">
      <c r="A32" s="154">
        <v>27</v>
      </c>
      <c r="B32" s="155" t="s">
        <v>72</v>
      </c>
      <c r="C32" s="155"/>
      <c r="D32" s="149">
        <v>0</v>
      </c>
      <c r="E32" s="149"/>
      <c r="F32" s="117">
        <v>27</v>
      </c>
      <c r="H32" s="115" t="s">
        <v>58</v>
      </c>
      <c r="I32" s="36"/>
      <c r="J32" s="36"/>
      <c r="K32" s="36"/>
      <c r="L32" s="267" t="s">
        <v>60</v>
      </c>
      <c r="M32" s="260"/>
      <c r="N32" s="260"/>
      <c r="O32" s="260"/>
      <c r="P32" s="113"/>
      <c r="Q32" s="113"/>
      <c r="R32" s="113"/>
      <c r="S32" s="113"/>
      <c r="T32" s="113"/>
      <c r="U32" s="113"/>
      <c r="V32" s="113"/>
      <c r="W32" s="113"/>
      <c r="X32" s="113"/>
    </row>
    <row r="33" spans="1:24" ht="12" customHeight="1" thickBot="1">
      <c r="A33" s="154">
        <v>28</v>
      </c>
      <c r="B33" s="155" t="s">
        <v>73</v>
      </c>
      <c r="C33" s="155"/>
      <c r="D33" s="149">
        <v>0</v>
      </c>
      <c r="E33" s="149"/>
      <c r="F33" s="117">
        <v>28</v>
      </c>
      <c r="H33" s="115" t="s">
        <v>59</v>
      </c>
      <c r="I33" s="36"/>
      <c r="J33" s="36"/>
      <c r="K33" s="36"/>
      <c r="L33" s="36" t="s">
        <v>40</v>
      </c>
      <c r="M33" s="36"/>
      <c r="N33" s="36"/>
      <c r="P33" s="113"/>
      <c r="Q33" s="113"/>
      <c r="R33" s="113"/>
      <c r="S33" s="113"/>
      <c r="T33" s="113"/>
      <c r="U33" s="113"/>
      <c r="V33" s="113"/>
      <c r="W33" s="113"/>
      <c r="X33" s="113"/>
    </row>
    <row r="34" spans="1:24" ht="12" customHeight="1" thickBot="1">
      <c r="A34" s="154">
        <v>29</v>
      </c>
      <c r="B34" s="156" t="s">
        <v>273</v>
      </c>
      <c r="C34" s="155"/>
      <c r="D34" s="152">
        <f>SUM(D24:D33)</f>
        <v>0</v>
      </c>
      <c r="E34" s="152">
        <f>SUM(E23:E33)</f>
        <v>0</v>
      </c>
      <c r="F34" s="117">
        <v>29</v>
      </c>
      <c r="M34" s="35"/>
      <c r="N34" s="36"/>
      <c r="P34" s="113"/>
      <c r="Q34" s="113"/>
      <c r="R34" s="113"/>
      <c r="S34" s="113"/>
      <c r="T34" s="113"/>
      <c r="U34" s="113"/>
      <c r="V34" s="113"/>
      <c r="W34" s="113"/>
      <c r="X34" s="113"/>
    </row>
    <row r="35" spans="1:24" ht="12" customHeight="1" thickBot="1" thickTop="1">
      <c r="A35" s="273">
        <v>30</v>
      </c>
      <c r="B35" s="156" t="s">
        <v>274</v>
      </c>
      <c r="C35" s="155"/>
      <c r="D35" s="153">
        <f>D22+D34</f>
        <v>113830</v>
      </c>
      <c r="E35" s="153">
        <f>E22+E34</f>
        <v>114969</v>
      </c>
      <c r="F35" s="117">
        <v>30</v>
      </c>
      <c r="H35" s="44" t="s">
        <v>37</v>
      </c>
      <c r="I35" s="114" t="s">
        <v>38</v>
      </c>
      <c r="J35" s="119"/>
      <c r="K35" s="120"/>
      <c r="L35" s="57" t="s">
        <v>41</v>
      </c>
      <c r="N35" s="28">
        <v>10000</v>
      </c>
      <c r="P35" s="113"/>
      <c r="Q35" s="113"/>
      <c r="R35" s="113"/>
      <c r="S35" s="113"/>
      <c r="T35" s="113"/>
      <c r="U35" s="113"/>
      <c r="V35" s="113"/>
      <c r="W35" s="113"/>
      <c r="X35" s="113"/>
    </row>
    <row r="36" spans="1:24" ht="12" customHeight="1" thickTop="1">
      <c r="A36" s="116"/>
      <c r="F36" s="32"/>
      <c r="H36" s="44" t="s">
        <v>39</v>
      </c>
      <c r="I36" s="114" t="s">
        <v>38</v>
      </c>
      <c r="J36" s="119"/>
      <c r="K36" s="120"/>
      <c r="L36" s="142" t="s">
        <v>42</v>
      </c>
      <c r="N36" s="28">
        <f>151965+25770+8281+16563+16563</f>
        <v>219142</v>
      </c>
      <c r="P36" s="113"/>
      <c r="Q36" s="113"/>
      <c r="R36" s="113"/>
      <c r="S36" s="113"/>
      <c r="T36" s="113"/>
      <c r="U36" s="113"/>
      <c r="V36" s="113"/>
      <c r="W36" s="113"/>
      <c r="X36" s="113"/>
    </row>
    <row r="37" spans="2:24" ht="13.5" customHeight="1">
      <c r="B37" s="274" t="s">
        <v>61</v>
      </c>
      <c r="C37" s="267"/>
      <c r="D37" s="141" t="s">
        <v>252</v>
      </c>
      <c r="E37" s="141" t="s">
        <v>56</v>
      </c>
      <c r="F37" s="32"/>
      <c r="P37" s="113"/>
      <c r="Q37" s="113"/>
      <c r="R37" s="113"/>
      <c r="S37" s="113"/>
      <c r="T37" s="113"/>
      <c r="U37" s="113"/>
      <c r="V37" s="113"/>
      <c r="W37" s="113"/>
      <c r="X37" s="113"/>
    </row>
    <row r="38" spans="1:24" ht="12.75">
      <c r="A38" s="158">
        <v>1</v>
      </c>
      <c r="B38" s="155" t="s">
        <v>173</v>
      </c>
      <c r="D38" s="27">
        <v>0</v>
      </c>
      <c r="E38" s="28"/>
      <c r="F38" s="32">
        <v>1</v>
      </c>
      <c r="H38" s="268" t="s">
        <v>223</v>
      </c>
      <c r="I38" s="259"/>
      <c r="J38" s="259"/>
      <c r="K38" s="259"/>
      <c r="L38" s="259"/>
      <c r="M38" s="259"/>
      <c r="P38" s="113"/>
      <c r="Q38" s="113"/>
      <c r="R38" s="113"/>
      <c r="S38" s="113"/>
      <c r="T38" s="113"/>
      <c r="U38" s="113"/>
      <c r="V38" s="113"/>
      <c r="W38" s="113"/>
      <c r="X38" s="113"/>
    </row>
    <row r="39" spans="1:24" ht="12" customHeight="1">
      <c r="A39" s="158">
        <v>2</v>
      </c>
      <c r="B39" s="155" t="s">
        <v>156</v>
      </c>
      <c r="D39" s="27">
        <v>0</v>
      </c>
      <c r="E39" s="27"/>
      <c r="F39" s="32">
        <v>2</v>
      </c>
      <c r="H39" s="268" t="s">
        <v>224</v>
      </c>
      <c r="I39" s="259"/>
      <c r="J39" s="259"/>
      <c r="K39" s="259"/>
      <c r="L39" s="259"/>
      <c r="M39" s="259"/>
      <c r="P39" s="113"/>
      <c r="Q39" s="113"/>
      <c r="R39" s="113"/>
      <c r="S39" s="113"/>
      <c r="T39" s="113"/>
      <c r="U39" s="113"/>
      <c r="V39" s="113"/>
      <c r="W39" s="113"/>
      <c r="X39" s="113"/>
    </row>
    <row r="40" spans="1:16" ht="12" customHeight="1">
      <c r="A40" s="158">
        <v>3</v>
      </c>
      <c r="B40" s="155" t="s">
        <v>157</v>
      </c>
      <c r="D40" s="27">
        <v>0</v>
      </c>
      <c r="E40" s="27"/>
      <c r="F40" s="32">
        <v>3</v>
      </c>
      <c r="H40" s="156" t="s">
        <v>221</v>
      </c>
      <c r="I40" s="140"/>
      <c r="J40" s="140"/>
      <c r="K40" s="140"/>
      <c r="L40" s="140"/>
      <c r="M40" s="140"/>
      <c r="N40" s="147"/>
      <c r="O40" s="147"/>
      <c r="P40" s="113"/>
    </row>
    <row r="41" spans="1:14" ht="12" customHeight="1">
      <c r="A41" s="158">
        <v>4</v>
      </c>
      <c r="B41" s="155" t="s">
        <v>158</v>
      </c>
      <c r="D41" s="27">
        <v>0</v>
      </c>
      <c r="E41" s="27"/>
      <c r="F41" s="32">
        <v>4</v>
      </c>
      <c r="H41" s="156" t="s">
        <v>222</v>
      </c>
      <c r="N41" s="148"/>
    </row>
    <row r="42" spans="1:6" ht="12" customHeight="1" thickBot="1">
      <c r="A42" s="158">
        <v>5</v>
      </c>
      <c r="B42" s="155" t="s">
        <v>159</v>
      </c>
      <c r="D42" s="121">
        <v>0</v>
      </c>
      <c r="E42" s="121"/>
      <c r="F42" s="32">
        <v>5</v>
      </c>
    </row>
    <row r="43" spans="1:6" ht="12" customHeight="1" thickBot="1">
      <c r="A43" s="273">
        <v>6</v>
      </c>
      <c r="B43" s="155" t="s">
        <v>160</v>
      </c>
      <c r="D43" s="153">
        <f>SUM(D38:D42)</f>
        <v>0</v>
      </c>
      <c r="E43" s="153">
        <f>SUM(E38:E42)</f>
        <v>0</v>
      </c>
      <c r="F43" s="32">
        <v>6</v>
      </c>
    </row>
    <row r="44" ht="6" customHeight="1" thickTop="1"/>
    <row r="45" spans="1:6" ht="27" customHeight="1">
      <c r="A45" s="237">
        <v>7</v>
      </c>
      <c r="B45" s="353" t="s">
        <v>220</v>
      </c>
      <c r="C45" s="354"/>
      <c r="D45" s="28">
        <v>0</v>
      </c>
      <c r="E45" s="148"/>
      <c r="F45" s="32">
        <v>7</v>
      </c>
    </row>
    <row r="46" ht="12" customHeight="1"/>
    <row r="49" ht="12.75" customHeight="1">
      <c r="I49" s="16"/>
    </row>
  </sheetData>
  <sheetProtection sheet="1"/>
  <mergeCells count="8">
    <mergeCell ref="Q3:Q4"/>
    <mergeCell ref="R3:R4"/>
    <mergeCell ref="C1:F1"/>
    <mergeCell ref="I1:K1"/>
    <mergeCell ref="B45:C45"/>
    <mergeCell ref="A3:C3"/>
    <mergeCell ref="M20:M21"/>
    <mergeCell ref="N20:N21"/>
  </mergeCells>
  <hyperlinks>
    <hyperlink ref="L32:O32" location="Pg2ExpensesByType" display="SELECTED EXPENSES BY TYPE"/>
    <hyperlink ref="H38:M39" location="Pg2StateEqualAssist" display="STATE EQUALIZATION ASSISTANCE BUDGETED"/>
    <hyperlink ref="H3:N3" location="Pg2SpecialEd" display="SPECIAL EDUCATION PROGRAMS BY TYPE"/>
    <hyperlink ref="B37:C37" location="CapitalAcquisitions" display="CAPITAL ACQUISITIONS"/>
    <hyperlink ref="A3:E3" location="TotalFederalAndStateProjects" display="FEDERAL AND STATE PROJECTS"/>
    <hyperlink ref="H12" r:id="rId1" display="TOTAL (lines 14 and 21) (1)"/>
    <hyperlink ref="H18:K18" r:id="rId2" display="INSTRUCTIONAL IMPROVEMENT PROJECT"/>
    <hyperlink ref="H18:L18" location="Pg2InstructionalImprovementProj" display="INSTRUCTIONAL IMPROVEMENT PROJECT"/>
    <hyperlink ref="H24:K24" location="Pg2Lines3and4" display="Dropout Prevention Programs"/>
    <hyperlink ref="H25:K25" location="Pg2Lines3and4" display="Instructional Improvement Programs"/>
    <hyperlink ref="H12:J12" location="Pg2Line8" display="TOTAL (lines 15 and 22)"/>
    <hyperlink ref="H5:J5" location="Pg2Line1" display="Total All Categories"/>
  </hyperlinks>
  <printOptions horizontalCentered="1" verticalCentered="1"/>
  <pageMargins left="0.75" right="0.5" top="0.25" bottom="0.25" header="0" footer="0"/>
  <pageSetup fitToHeight="1" fitToWidth="1" horizontalDpi="600" verticalDpi="600" orientation="landscape" scale="82" r:id="rId4"/>
  <headerFooter>
    <oddFooter>&amp;L&amp;"Arial,Bold"Rev. 5/16&amp;C&amp;"Arial,Bold"FY 2017&amp;R&amp;"Arial,Bold"Page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28">
      <selection activeCell="F65" sqref="F65"/>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James Sandoval Preparatory High School</v>
      </c>
      <c r="E1" s="69"/>
      <c r="F1" s="70" t="s">
        <v>54</v>
      </c>
      <c r="G1" s="41" t="str">
        <f>Cover!M1</f>
        <v>Maricopa</v>
      </c>
      <c r="H1" s="101"/>
      <c r="I1" s="101"/>
      <c r="J1" s="101"/>
      <c r="K1" s="70" t="s">
        <v>91</v>
      </c>
      <c r="L1" s="262" t="str">
        <f>Cover!R1</f>
        <v>078928000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58"/>
      <c r="E4" s="76"/>
      <c r="F4" s="104"/>
      <c r="G4" s="97" t="s">
        <v>96</v>
      </c>
      <c r="H4" s="163" t="s">
        <v>15</v>
      </c>
      <c r="I4" s="78"/>
      <c r="J4" s="356" t="s">
        <v>62</v>
      </c>
      <c r="K4" s="357"/>
      <c r="L4" s="78" t="s">
        <v>64</v>
      </c>
      <c r="M4" s="14"/>
      <c r="N4" s="14"/>
      <c r="O4" s="14"/>
    </row>
    <row r="5" spans="1:12" ht="10.5" customHeight="1">
      <c r="A5" s="4" t="s">
        <v>94</v>
      </c>
      <c r="B5" s="14"/>
      <c r="C5" s="14"/>
      <c r="D5" s="347"/>
      <c r="E5" s="81"/>
      <c r="F5" s="84" t="s">
        <v>16</v>
      </c>
      <c r="G5" s="98" t="s">
        <v>17</v>
      </c>
      <c r="H5" s="162" t="s">
        <v>18</v>
      </c>
      <c r="I5" s="84" t="s">
        <v>19</v>
      </c>
      <c r="J5" s="279" t="s">
        <v>252</v>
      </c>
      <c r="K5" s="84" t="s">
        <v>56</v>
      </c>
      <c r="L5" s="84" t="s">
        <v>65</v>
      </c>
    </row>
    <row r="6" spans="1:12" ht="10.5" customHeight="1">
      <c r="A6" s="94"/>
      <c r="B6" s="31"/>
      <c r="C6" s="31"/>
      <c r="D6" s="31"/>
      <c r="E6" s="99"/>
      <c r="F6" s="87">
        <v>6100</v>
      </c>
      <c r="G6" s="100">
        <v>6200</v>
      </c>
      <c r="H6" s="162" t="s">
        <v>277</v>
      </c>
      <c r="I6" s="84">
        <v>6600</v>
      </c>
      <c r="J6" s="84">
        <v>2016</v>
      </c>
      <c r="K6" s="84">
        <v>2017</v>
      </c>
      <c r="L6" s="84" t="s">
        <v>66</v>
      </c>
    </row>
    <row r="7" spans="1:14" ht="10.5" customHeight="1">
      <c r="A7" s="269" t="s">
        <v>93</v>
      </c>
      <c r="B7" s="258"/>
      <c r="C7" s="258"/>
      <c r="D7" s="258"/>
      <c r="E7" s="14"/>
      <c r="F7" s="128"/>
      <c r="G7" s="130"/>
      <c r="H7" s="298"/>
      <c r="I7" s="298"/>
      <c r="J7" s="74"/>
      <c r="K7" s="1"/>
      <c r="L7" s="77"/>
      <c r="M7" s="19"/>
      <c r="N7" s="105"/>
    </row>
    <row r="8" spans="1:14" ht="10.5" customHeight="1">
      <c r="A8" s="88"/>
      <c r="B8" s="14" t="s">
        <v>22</v>
      </c>
      <c r="C8" s="14"/>
      <c r="D8" s="14"/>
      <c r="E8" s="3"/>
      <c r="F8" s="182"/>
      <c r="G8" s="172"/>
      <c r="H8" s="286"/>
      <c r="I8" s="286"/>
      <c r="J8" s="288"/>
      <c r="K8" s="179"/>
      <c r="L8" s="173"/>
      <c r="M8" s="19"/>
      <c r="N8" s="105"/>
    </row>
    <row r="9" spans="1:14" ht="10.5" customHeight="1">
      <c r="A9" s="88"/>
      <c r="B9" s="14"/>
      <c r="C9" s="14" t="s">
        <v>23</v>
      </c>
      <c r="D9" s="254"/>
      <c r="E9" s="3">
        <v>1</v>
      </c>
      <c r="F9" s="106">
        <v>8281</v>
      </c>
      <c r="G9" s="169"/>
      <c r="H9" s="127"/>
      <c r="I9" s="127"/>
      <c r="J9" s="287">
        <v>0</v>
      </c>
      <c r="K9" s="180">
        <f>SUM(F7:G9)</f>
        <v>8281</v>
      </c>
      <c r="L9" s="168" t="str">
        <f>IF(J9=0," ",(K9-J9)/J9)</f>
        <v> </v>
      </c>
      <c r="M9" s="107" t="s">
        <v>44</v>
      </c>
      <c r="N9" s="105"/>
    </row>
    <row r="10" spans="1:14" ht="10.5" customHeight="1">
      <c r="A10" s="88"/>
      <c r="B10" s="14"/>
      <c r="C10" s="14" t="s">
        <v>97</v>
      </c>
      <c r="D10" s="14"/>
      <c r="E10" s="3">
        <v>2</v>
      </c>
      <c r="F10" s="106"/>
      <c r="G10" s="106"/>
      <c r="H10" s="127"/>
      <c r="I10" s="127"/>
      <c r="J10" s="33">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v>0</v>
      </c>
      <c r="K11" s="10">
        <f>SUM(F11:G11)</f>
        <v>0</v>
      </c>
      <c r="L11" s="12" t="str">
        <f>IF(J11=0," ",(K11-J11)/J11)</f>
        <v> </v>
      </c>
      <c r="M11" s="107" t="s">
        <v>107</v>
      </c>
      <c r="N11" s="105"/>
    </row>
    <row r="12" spans="1:13" ht="10.5" customHeight="1">
      <c r="A12" s="94"/>
      <c r="B12" s="31" t="s">
        <v>98</v>
      </c>
      <c r="C12" s="31"/>
      <c r="D12" s="31"/>
      <c r="E12" s="5">
        <v>4</v>
      </c>
      <c r="F12" s="108">
        <f>SUM(F7:F11)</f>
        <v>8281</v>
      </c>
      <c r="G12" s="108">
        <f>SUM(G7:G11)</f>
        <v>0</v>
      </c>
      <c r="H12" s="299"/>
      <c r="I12" s="299"/>
      <c r="J12" s="177">
        <f>SUM(J8:J11)</f>
        <v>0</v>
      </c>
      <c r="K12" s="177">
        <f>SUM(K8:K11)</f>
        <v>8281</v>
      </c>
      <c r="L12" s="164" t="str">
        <f>IF(J12=0," ",(K12-J12)/J12)</f>
        <v> </v>
      </c>
      <c r="M12" s="109" t="s">
        <v>108</v>
      </c>
    </row>
    <row r="13" spans="1:14" ht="10.5" customHeight="1">
      <c r="A13" s="88"/>
      <c r="B13" s="14" t="s">
        <v>29</v>
      </c>
      <c r="C13" s="14"/>
      <c r="D13" s="14"/>
      <c r="E13" s="3"/>
      <c r="F13" s="174"/>
      <c r="G13" s="181"/>
      <c r="H13" s="298"/>
      <c r="I13" s="298"/>
      <c r="J13" s="74"/>
      <c r="K13" s="1"/>
      <c r="L13" s="77"/>
      <c r="M13" s="107"/>
      <c r="N13" s="105"/>
    </row>
    <row r="14" spans="1:14" ht="10.5" customHeight="1">
      <c r="A14" s="88"/>
      <c r="B14" s="14"/>
      <c r="C14" s="14" t="s">
        <v>23</v>
      </c>
      <c r="D14" s="14"/>
      <c r="E14" s="3">
        <v>5</v>
      </c>
      <c r="F14" s="111"/>
      <c r="G14" s="176"/>
      <c r="H14" s="127"/>
      <c r="I14" s="127"/>
      <c r="J14" s="287">
        <v>0</v>
      </c>
      <c r="K14" s="180">
        <f>SUM(F13:G14)</f>
        <v>0</v>
      </c>
      <c r="L14" s="168" t="str">
        <f>IF(J14=0," ",(K14-J14)/J14)</f>
        <v> </v>
      </c>
      <c r="M14" s="107" t="s">
        <v>109</v>
      </c>
      <c r="N14" s="105"/>
    </row>
    <row r="15" spans="1:14" ht="10.5" customHeight="1">
      <c r="A15" s="88"/>
      <c r="B15" s="14"/>
      <c r="C15" s="14" t="s">
        <v>97</v>
      </c>
      <c r="D15" s="14"/>
      <c r="E15" s="3">
        <v>6</v>
      </c>
      <c r="F15" s="8"/>
      <c r="G15" s="8"/>
      <c r="H15" s="127"/>
      <c r="I15" s="127"/>
      <c r="J15" s="33">
        <v>0</v>
      </c>
      <c r="K15" s="10">
        <f>SUM(F15:G15)</f>
        <v>0</v>
      </c>
      <c r="L15" s="12" t="str">
        <f>IF(J15=0," ",(K15-J15)/J15)</f>
        <v> </v>
      </c>
      <c r="M15" s="107" t="s">
        <v>110</v>
      </c>
      <c r="N15" s="105"/>
    </row>
    <row r="16" spans="1:14" ht="10.5" customHeight="1">
      <c r="A16" s="88"/>
      <c r="B16" s="14"/>
      <c r="C16" s="14" t="s">
        <v>161</v>
      </c>
      <c r="D16" s="14"/>
      <c r="E16" s="3">
        <v>7</v>
      </c>
      <c r="F16" s="8"/>
      <c r="G16" s="8"/>
      <c r="H16" s="127"/>
      <c r="I16" s="127"/>
      <c r="J16" s="8">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6"/>
      <c r="I17" s="286"/>
      <c r="J17" s="178">
        <f>SUM(J14:J16)</f>
        <v>0</v>
      </c>
      <c r="K17" s="178">
        <f>SUM(K14:K16)</f>
        <v>0</v>
      </c>
      <c r="L17" s="164" t="str">
        <f>IF(J17=0," ",(K17-J17)/J17)</f>
        <v> </v>
      </c>
      <c r="M17" s="107" t="s">
        <v>112</v>
      </c>
      <c r="N17" s="105"/>
    </row>
    <row r="18" spans="1:13" ht="10.5" customHeight="1">
      <c r="A18" s="88"/>
      <c r="B18" s="110" t="s">
        <v>100</v>
      </c>
      <c r="C18" s="14"/>
      <c r="D18" s="14"/>
      <c r="E18" s="3"/>
      <c r="F18" s="174"/>
      <c r="G18" s="181"/>
      <c r="H18" s="298"/>
      <c r="I18" s="298"/>
      <c r="J18" s="74"/>
      <c r="K18" s="1"/>
      <c r="L18" s="77"/>
      <c r="M18" s="109"/>
    </row>
    <row r="19" spans="1:14" ht="10.5" customHeight="1">
      <c r="A19" s="88"/>
      <c r="B19" s="14"/>
      <c r="C19" s="14" t="s">
        <v>23</v>
      </c>
      <c r="D19" s="14"/>
      <c r="E19" s="3">
        <v>9</v>
      </c>
      <c r="F19" s="111"/>
      <c r="G19" s="176"/>
      <c r="H19" s="127"/>
      <c r="I19" s="127"/>
      <c r="J19" s="287">
        <v>0</v>
      </c>
      <c r="K19" s="180">
        <f>SUM(F18:G19)</f>
        <v>0</v>
      </c>
      <c r="L19" s="168" t="str">
        <f>IF(J19=0," ",(K19-J19)/J19)</f>
        <v> </v>
      </c>
      <c r="M19" s="107" t="s">
        <v>113</v>
      </c>
      <c r="N19" s="105"/>
    </row>
    <row r="20" spans="1:14" ht="10.5" customHeight="1">
      <c r="A20" s="88"/>
      <c r="B20" s="14"/>
      <c r="C20" s="14" t="s">
        <v>97</v>
      </c>
      <c r="D20" s="14"/>
      <c r="E20" s="3">
        <v>10</v>
      </c>
      <c r="F20" s="8"/>
      <c r="G20" s="8"/>
      <c r="H20" s="127"/>
      <c r="I20" s="127"/>
      <c r="J20" s="33">
        <v>0</v>
      </c>
      <c r="K20" s="10">
        <f>SUM(F20:G20)</f>
        <v>0</v>
      </c>
      <c r="L20" s="12" t="str">
        <f>IF(J20=0," ",(K20-J20)/J20)</f>
        <v> </v>
      </c>
      <c r="M20" s="107" t="s">
        <v>114</v>
      </c>
      <c r="N20" s="105"/>
    </row>
    <row r="21" spans="1:14" ht="10.5" customHeight="1">
      <c r="A21" s="88"/>
      <c r="B21" s="14"/>
      <c r="C21" s="14" t="s">
        <v>161</v>
      </c>
      <c r="D21" s="14"/>
      <c r="E21" s="3">
        <v>11</v>
      </c>
      <c r="F21" s="8"/>
      <c r="G21" s="8"/>
      <c r="H21" s="127"/>
      <c r="I21" s="127"/>
      <c r="J21" s="8">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8281</v>
      </c>
      <c r="G23" s="9">
        <f>G12+G17+G22</f>
        <v>0</v>
      </c>
      <c r="H23" s="286"/>
      <c r="I23" s="286"/>
      <c r="J23" s="9">
        <f>J12+J17+J22</f>
        <v>0</v>
      </c>
      <c r="K23" s="9">
        <f>K12+K17+K22</f>
        <v>8281</v>
      </c>
      <c r="L23" s="12" t="str">
        <f>IF(J23=0," ",(K23-J23)/J23)</f>
        <v> </v>
      </c>
      <c r="M23" s="107" t="s">
        <v>117</v>
      </c>
      <c r="N23" s="105"/>
    </row>
    <row r="24" spans="1:14" ht="10.5" customHeight="1">
      <c r="A24" s="269" t="s">
        <v>95</v>
      </c>
      <c r="B24" s="258"/>
      <c r="C24" s="258"/>
      <c r="D24" s="258"/>
      <c r="E24" s="14"/>
      <c r="F24" s="175"/>
      <c r="G24" s="179"/>
      <c r="H24" s="300"/>
      <c r="I24" s="298"/>
      <c r="J24" s="74"/>
      <c r="K24" s="1"/>
      <c r="L24" s="77"/>
      <c r="M24" s="107"/>
      <c r="N24" s="105"/>
    </row>
    <row r="25" spans="1:14" ht="10.5" customHeight="1">
      <c r="A25" s="88"/>
      <c r="B25" s="14" t="s">
        <v>22</v>
      </c>
      <c r="C25" s="14"/>
      <c r="D25" s="14"/>
      <c r="E25" s="3"/>
      <c r="F25" s="175"/>
      <c r="G25" s="179"/>
      <c r="H25" s="301"/>
      <c r="I25" s="286"/>
      <c r="J25" s="288"/>
      <c r="K25" s="179"/>
      <c r="L25" s="173"/>
      <c r="M25" s="107"/>
      <c r="N25" s="105"/>
    </row>
    <row r="26" spans="1:14" ht="10.5" customHeight="1">
      <c r="A26" s="88"/>
      <c r="B26" s="14"/>
      <c r="C26" s="14" t="s">
        <v>23</v>
      </c>
      <c r="D26" s="14"/>
      <c r="E26" s="3">
        <v>14</v>
      </c>
      <c r="F26" s="111">
        <v>16563</v>
      </c>
      <c r="G26" s="176"/>
      <c r="H26" s="302"/>
      <c r="I26" s="127"/>
      <c r="J26" s="287">
        <v>12583</v>
      </c>
      <c r="K26" s="180">
        <f>SUM(F24:G26)</f>
        <v>16563</v>
      </c>
      <c r="L26" s="12">
        <f>IF(J26=0," ",(K26-J26)/J26)</f>
        <v>0.316</v>
      </c>
      <c r="M26" s="107" t="s">
        <v>118</v>
      </c>
      <c r="N26" s="105"/>
    </row>
    <row r="27" spans="1:14" ht="10.5" customHeight="1">
      <c r="A27" s="88"/>
      <c r="B27" s="14"/>
      <c r="C27" s="14" t="s">
        <v>97</v>
      </c>
      <c r="D27" s="14"/>
      <c r="E27" s="3">
        <v>15</v>
      </c>
      <c r="F27" s="111"/>
      <c r="G27" s="111"/>
      <c r="H27" s="127"/>
      <c r="I27" s="127"/>
      <c r="J27" s="33">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v>0</v>
      </c>
      <c r="K28" s="9">
        <f>SUM(F28:G28)</f>
        <v>0</v>
      </c>
      <c r="L28" s="12" t="str">
        <f>IF(J28=0," ",(K28-J28)/J28)</f>
        <v> </v>
      </c>
      <c r="M28" s="107" t="s">
        <v>120</v>
      </c>
      <c r="N28" s="105"/>
    </row>
    <row r="29" spans="1:13" ht="10.5" customHeight="1">
      <c r="A29" s="94"/>
      <c r="B29" s="31" t="s">
        <v>103</v>
      </c>
      <c r="C29" s="31"/>
      <c r="D29" s="31"/>
      <c r="E29" s="5">
        <v>17</v>
      </c>
      <c r="F29" s="112">
        <f>SUM(F24:F28)</f>
        <v>16563</v>
      </c>
      <c r="G29" s="112">
        <f>SUM(G24:G28)</f>
        <v>0</v>
      </c>
      <c r="H29" s="286"/>
      <c r="I29" s="286"/>
      <c r="J29" s="178">
        <f>SUM(J25:J28)</f>
        <v>12583</v>
      </c>
      <c r="K29" s="178">
        <f>SUM(K25:K28)</f>
        <v>16563</v>
      </c>
      <c r="L29" s="164">
        <f>IF(J29=0," ",(K29-J29)/J29)</f>
        <v>0.316</v>
      </c>
      <c r="M29" s="109" t="s">
        <v>121</v>
      </c>
    </row>
    <row r="30" spans="1:14" ht="10.5" customHeight="1">
      <c r="A30" s="88"/>
      <c r="B30" s="14" t="s">
        <v>29</v>
      </c>
      <c r="C30" s="14"/>
      <c r="D30" s="14"/>
      <c r="E30" s="3"/>
      <c r="F30" s="174"/>
      <c r="G30" s="181"/>
      <c r="H30" s="300"/>
      <c r="I30" s="298"/>
      <c r="J30" s="74"/>
      <c r="K30" s="1"/>
      <c r="L30" s="77"/>
      <c r="M30" s="107"/>
      <c r="N30" s="105"/>
    </row>
    <row r="31" spans="1:14" ht="10.5" customHeight="1">
      <c r="A31" s="88"/>
      <c r="B31" s="14"/>
      <c r="C31" s="14" t="s">
        <v>23</v>
      </c>
      <c r="D31" s="14"/>
      <c r="E31" s="3">
        <v>18</v>
      </c>
      <c r="F31" s="111"/>
      <c r="G31" s="176"/>
      <c r="H31" s="302"/>
      <c r="I31" s="127"/>
      <c r="J31" s="287">
        <v>0</v>
      </c>
      <c r="K31" s="180">
        <f>SUM(F30:G31)</f>
        <v>0</v>
      </c>
      <c r="L31" s="168" t="str">
        <f>IF(J31=0," ",(K31-J31)/J31)</f>
        <v> </v>
      </c>
      <c r="M31" s="107" t="s">
        <v>122</v>
      </c>
      <c r="N31" s="105"/>
    </row>
    <row r="32" spans="1:14" ht="10.5" customHeight="1">
      <c r="A32" s="88"/>
      <c r="B32" s="14"/>
      <c r="C32" s="14" t="s">
        <v>97</v>
      </c>
      <c r="D32" s="14"/>
      <c r="E32" s="3">
        <v>19</v>
      </c>
      <c r="F32" s="8"/>
      <c r="G32" s="8"/>
      <c r="H32" s="127"/>
      <c r="I32" s="127"/>
      <c r="J32" s="33">
        <v>0</v>
      </c>
      <c r="K32" s="10">
        <f>SUM(F32:G32)</f>
        <v>0</v>
      </c>
      <c r="L32" s="12" t="str">
        <f>IF(J32=0," ",(K32-J32)/J32)</f>
        <v> </v>
      </c>
      <c r="M32" s="107" t="s">
        <v>123</v>
      </c>
      <c r="N32" s="105"/>
    </row>
    <row r="33" spans="1:14" ht="10.5" customHeight="1">
      <c r="A33" s="88"/>
      <c r="B33" s="14"/>
      <c r="C33" s="14" t="s">
        <v>161</v>
      </c>
      <c r="D33" s="14"/>
      <c r="E33" s="3">
        <v>20</v>
      </c>
      <c r="F33" s="8"/>
      <c r="G33" s="8"/>
      <c r="H33" s="127"/>
      <c r="I33" s="127"/>
      <c r="J33" s="8">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6"/>
      <c r="I34" s="286"/>
      <c r="J34" s="178">
        <f>SUM(J31:J33)</f>
        <v>0</v>
      </c>
      <c r="K34" s="178">
        <f>SUM(K31:K33)</f>
        <v>0</v>
      </c>
      <c r="L34" s="164" t="str">
        <f>IF(J34=0," ",(K34-J34)/J34)</f>
        <v> </v>
      </c>
      <c r="M34" s="107" t="s">
        <v>125</v>
      </c>
      <c r="N34" s="105"/>
    </row>
    <row r="35" spans="1:13" ht="10.5" customHeight="1">
      <c r="A35" s="88"/>
      <c r="B35" s="110" t="s">
        <v>100</v>
      </c>
      <c r="C35" s="14"/>
      <c r="D35" s="14"/>
      <c r="E35" s="3"/>
      <c r="F35" s="174"/>
      <c r="G35" s="181"/>
      <c r="H35" s="300"/>
      <c r="I35" s="298"/>
      <c r="J35" s="74"/>
      <c r="K35" s="1"/>
      <c r="L35" s="77"/>
      <c r="M35" s="109"/>
    </row>
    <row r="36" spans="1:14" ht="10.5" customHeight="1">
      <c r="A36" s="88"/>
      <c r="B36" s="14"/>
      <c r="C36" s="14" t="s">
        <v>23</v>
      </c>
      <c r="D36" s="14"/>
      <c r="E36" s="3">
        <v>22</v>
      </c>
      <c r="F36" s="111"/>
      <c r="G36" s="176"/>
      <c r="H36" s="302"/>
      <c r="I36" s="127"/>
      <c r="J36" s="287">
        <v>0</v>
      </c>
      <c r="K36" s="180">
        <f>SUM(F35:G36)</f>
        <v>0</v>
      </c>
      <c r="L36" s="168" t="str">
        <f>IF(J36=0," ",(K36-J36)/J36)</f>
        <v> </v>
      </c>
      <c r="M36" s="107" t="s">
        <v>126</v>
      </c>
      <c r="N36" s="105"/>
    </row>
    <row r="37" spans="1:14" ht="10.5" customHeight="1">
      <c r="A37" s="88"/>
      <c r="B37" s="14"/>
      <c r="C37" s="14" t="s">
        <v>97</v>
      </c>
      <c r="D37" s="14"/>
      <c r="E37" s="3">
        <v>23</v>
      </c>
      <c r="F37" s="8"/>
      <c r="G37" s="8"/>
      <c r="H37" s="127"/>
      <c r="I37" s="127"/>
      <c r="J37" s="33">
        <v>0</v>
      </c>
      <c r="K37" s="10">
        <f>SUM(F37:G37)</f>
        <v>0</v>
      </c>
      <c r="L37" s="12" t="str">
        <f>IF(J37=0," ",(K37-J37)/J37)</f>
        <v> </v>
      </c>
      <c r="M37" s="107" t="s">
        <v>127</v>
      </c>
      <c r="N37" s="105"/>
    </row>
    <row r="38" spans="1:14" ht="10.5" customHeight="1">
      <c r="A38" s="88"/>
      <c r="B38" s="14"/>
      <c r="C38" s="14" t="s">
        <v>161</v>
      </c>
      <c r="D38" s="14"/>
      <c r="E38" s="3">
        <v>24</v>
      </c>
      <c r="F38" s="8"/>
      <c r="G38" s="8"/>
      <c r="H38" s="127"/>
      <c r="I38" s="127"/>
      <c r="J38" s="8">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16563</v>
      </c>
      <c r="G40" s="10">
        <f>G29+G34+G39</f>
        <v>0</v>
      </c>
      <c r="H40" s="127"/>
      <c r="I40" s="127"/>
      <c r="J40" s="10">
        <f>J29+J34+J39</f>
        <v>12583</v>
      </c>
      <c r="K40" s="10">
        <f>K29+K34+K39</f>
        <v>16563</v>
      </c>
      <c r="L40" s="12">
        <f>IF(J40=0," ",(K40-J40)/J40)</f>
        <v>0.316</v>
      </c>
      <c r="M40" s="107" t="s">
        <v>130</v>
      </c>
      <c r="N40" s="105"/>
    </row>
    <row r="41" spans="1:15" ht="10.5" customHeight="1">
      <c r="A41" s="269" t="s">
        <v>92</v>
      </c>
      <c r="B41" s="258"/>
      <c r="C41" s="258"/>
      <c r="D41" s="258"/>
      <c r="E41" s="3"/>
      <c r="F41" s="128"/>
      <c r="G41" s="128"/>
      <c r="H41" s="128"/>
      <c r="I41" s="130"/>
      <c r="J41" s="77"/>
      <c r="K41" s="77"/>
      <c r="L41" s="77"/>
      <c r="M41" s="2"/>
      <c r="N41" s="7"/>
      <c r="O41" s="11"/>
    </row>
    <row r="42" spans="1:15" ht="10.5" customHeight="1">
      <c r="A42" s="88"/>
      <c r="B42" s="14" t="s">
        <v>22</v>
      </c>
      <c r="C42" s="14"/>
      <c r="D42" s="14"/>
      <c r="E42" s="14"/>
      <c r="F42" s="182"/>
      <c r="G42" s="182"/>
      <c r="H42" s="182"/>
      <c r="I42" s="172"/>
      <c r="J42" s="182"/>
      <c r="K42" s="182"/>
      <c r="L42" s="173"/>
      <c r="M42" s="14"/>
      <c r="N42" s="7"/>
      <c r="O42" s="11"/>
    </row>
    <row r="43" spans="1:14" ht="10.5" customHeight="1">
      <c r="A43" s="88"/>
      <c r="C43" s="14" t="s">
        <v>23</v>
      </c>
      <c r="D43" s="14"/>
      <c r="E43" s="3">
        <v>27</v>
      </c>
      <c r="F43" s="106">
        <v>16263</v>
      </c>
      <c r="G43" s="106"/>
      <c r="H43" s="106"/>
      <c r="I43" s="169"/>
      <c r="J43" s="106">
        <v>0</v>
      </c>
      <c r="K43" s="108">
        <f>SUM(F43:I43)</f>
        <v>16263</v>
      </c>
      <c r="L43" s="168" t="str">
        <f>IF(J43=0," ",(K43-J43)/J43)</f>
        <v> </v>
      </c>
      <c r="M43" s="2">
        <v>27</v>
      </c>
      <c r="N43" s="2"/>
    </row>
    <row r="44" spans="1:13" ht="10.5" customHeight="1">
      <c r="A44" s="88"/>
      <c r="C44" s="14" t="s">
        <v>162</v>
      </c>
      <c r="D44" s="14"/>
      <c r="E44" s="3">
        <v>28</v>
      </c>
      <c r="F44" s="145"/>
      <c r="G44" s="106"/>
      <c r="H44" s="106"/>
      <c r="I44" s="106"/>
      <c r="J44" s="26">
        <v>0</v>
      </c>
      <c r="K44" s="132">
        <f>SUM(F44:I44)</f>
        <v>0</v>
      </c>
      <c r="L44" s="133" t="str">
        <f>IF(J44=0," ",(K44-J44)/J44)</f>
        <v> </v>
      </c>
      <c r="M44" s="91">
        <v>28</v>
      </c>
    </row>
    <row r="45" spans="1:13" ht="10.5" customHeight="1">
      <c r="A45" s="88"/>
      <c r="C45" s="14" t="s">
        <v>161</v>
      </c>
      <c r="D45" s="14"/>
      <c r="E45" s="3">
        <v>29</v>
      </c>
      <c r="F45" s="146"/>
      <c r="G45" s="25"/>
      <c r="H45" s="25"/>
      <c r="I45" s="25"/>
      <c r="J45" s="26">
        <v>0</v>
      </c>
      <c r="K45" s="20">
        <f>SUM(F45:I45)</f>
        <v>0</v>
      </c>
      <c r="L45" s="131" t="str">
        <f>IF(J45=0," ",(K45-J45)/J45)</f>
        <v> </v>
      </c>
      <c r="M45" s="91">
        <v>29</v>
      </c>
    </row>
    <row r="46" spans="1:13" ht="10.5" customHeight="1">
      <c r="A46" s="94"/>
      <c r="B46" s="137" t="s">
        <v>278</v>
      </c>
      <c r="C46" s="31"/>
      <c r="D46" s="31"/>
      <c r="E46" s="23">
        <v>30</v>
      </c>
      <c r="F46" s="29">
        <f>SUM(F41:F45)</f>
        <v>16263</v>
      </c>
      <c r="G46" s="6">
        <f>SUM(G41:G45)</f>
        <v>0</v>
      </c>
      <c r="H46" s="6">
        <f>SUM(H41:H45)</f>
        <v>0</v>
      </c>
      <c r="I46" s="6">
        <f>SUM(I41:I45)</f>
        <v>0</v>
      </c>
      <c r="J46" s="165">
        <f>SUM(J42:J45)</f>
        <v>0</v>
      </c>
      <c r="K46" s="165">
        <f>SUM(F46:I46)</f>
        <v>16263</v>
      </c>
      <c r="L46" s="164" t="str">
        <f>IF(J46=0," ",(K46-J46)/J46)</f>
        <v> </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9"/>
      <c r="J48" s="106">
        <v>0</v>
      </c>
      <c r="K48" s="108">
        <f>SUM(F48:I48)</f>
        <v>0</v>
      </c>
      <c r="L48" s="168" t="str">
        <f>IF(J48=0," ",(K48-J48)/J48)</f>
        <v> </v>
      </c>
      <c r="M48" s="2">
        <v>31</v>
      </c>
    </row>
    <row r="49" spans="1:13" ht="10.5" customHeight="1">
      <c r="A49" s="88"/>
      <c r="C49" s="14" t="s">
        <v>162</v>
      </c>
      <c r="D49" s="14"/>
      <c r="E49" s="21">
        <v>32</v>
      </c>
      <c r="F49" s="145"/>
      <c r="G49" s="106"/>
      <c r="H49" s="106"/>
      <c r="I49" s="106"/>
      <c r="J49" s="106">
        <v>0</v>
      </c>
      <c r="K49" s="128">
        <f>SUM(F49:I49)</f>
        <v>0</v>
      </c>
      <c r="L49" s="129" t="str">
        <f>IF(J49=0," ",(K49-J49)/J49)</f>
        <v> </v>
      </c>
      <c r="M49" s="91">
        <v>32</v>
      </c>
    </row>
    <row r="50" spans="1:13" ht="10.5" customHeight="1">
      <c r="A50" s="88"/>
      <c r="C50" s="14" t="s">
        <v>161</v>
      </c>
      <c r="D50" s="14"/>
      <c r="E50" s="21">
        <v>33</v>
      </c>
      <c r="F50" s="146"/>
      <c r="G50" s="25"/>
      <c r="H50" s="25"/>
      <c r="I50" s="25"/>
      <c r="J50" s="26">
        <v>0</v>
      </c>
      <c r="K50" s="20">
        <f>SUM(F50:I50)</f>
        <v>0</v>
      </c>
      <c r="L50" s="131" t="str">
        <f aca="true" t="shared" si="0" ref="L50:L59">IF(J50=0," ",(K50-J50)/J50)</f>
        <v> </v>
      </c>
      <c r="M50" s="91">
        <v>33</v>
      </c>
    </row>
    <row r="51" spans="1:13" ht="10.5" customHeight="1">
      <c r="A51" s="94"/>
      <c r="B51" s="137" t="s">
        <v>279</v>
      </c>
      <c r="C51" s="31"/>
      <c r="D51" s="31"/>
      <c r="E51" s="23">
        <v>34</v>
      </c>
      <c r="F51" s="29">
        <f>SUM(F47:F50)</f>
        <v>0</v>
      </c>
      <c r="G51" s="6">
        <f>SUM(G47:G50)</f>
        <v>0</v>
      </c>
      <c r="H51" s="6">
        <f>SUM(H47:H50)</f>
        <v>0</v>
      </c>
      <c r="I51" s="6">
        <f>SUM(I47:I50)</f>
        <v>0</v>
      </c>
      <c r="J51" s="165">
        <f>SUM(J48:J50)</f>
        <v>0</v>
      </c>
      <c r="K51" s="165">
        <f>SUM(F51:I51)</f>
        <v>0</v>
      </c>
      <c r="L51" s="164"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v>300</v>
      </c>
      <c r="G53" s="106"/>
      <c r="H53" s="106"/>
      <c r="I53" s="169"/>
      <c r="J53" s="106">
        <v>300</v>
      </c>
      <c r="K53" s="108">
        <f>SUM(F53:I53)</f>
        <v>300</v>
      </c>
      <c r="L53" s="168">
        <f>IF(J53=0," ",(K53-J53)/J53)</f>
        <v>0</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9"/>
      <c r="J55" s="106">
        <v>0</v>
      </c>
      <c r="K55" s="108">
        <f>SUM(F55:I55)</f>
        <v>0</v>
      </c>
      <c r="L55" s="168" t="str">
        <f>IF(J55=0," ",(K55-J55)/J55)</f>
        <v> </v>
      </c>
      <c r="M55" s="2">
        <v>36</v>
      </c>
    </row>
    <row r="56" spans="1:13" ht="10.5" customHeight="1">
      <c r="A56" s="88"/>
      <c r="C56" s="138" t="s">
        <v>182</v>
      </c>
      <c r="D56" s="14"/>
      <c r="E56" s="3">
        <v>37</v>
      </c>
      <c r="F56" s="146"/>
      <c r="G56" s="25"/>
      <c r="H56" s="25"/>
      <c r="I56" s="25"/>
      <c r="J56" s="25">
        <v>0</v>
      </c>
      <c r="K56" s="6">
        <f>SUM(F56:I56)</f>
        <v>0</v>
      </c>
      <c r="L56" s="12" t="str">
        <f t="shared" si="0"/>
        <v> </v>
      </c>
      <c r="M56" s="91">
        <v>37</v>
      </c>
    </row>
    <row r="57" spans="1:13" ht="10.5" customHeight="1">
      <c r="A57" s="88"/>
      <c r="B57" s="138" t="s">
        <v>280</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281</v>
      </c>
      <c r="B58" s="96"/>
      <c r="C58" s="31"/>
      <c r="D58" s="96"/>
      <c r="E58" s="22">
        <v>39</v>
      </c>
      <c r="F58" s="29">
        <f>F46+F51+F52+F53+F57</f>
        <v>16563</v>
      </c>
      <c r="G58" s="6">
        <f>G46+G51+G52+G53+G57</f>
        <v>0</v>
      </c>
      <c r="H58" s="6">
        <f>H46+H51+H52+H53+H57</f>
        <v>0</v>
      </c>
      <c r="I58" s="6">
        <f>I46+I51+I52+I53+I57</f>
        <v>0</v>
      </c>
      <c r="J58" s="6">
        <f>J46+J51+J53+J57</f>
        <v>300</v>
      </c>
      <c r="K58" s="6">
        <f>K46+K51+K53+K57</f>
        <v>16563</v>
      </c>
      <c r="L58" s="12">
        <f t="shared" si="0"/>
        <v>54.21</v>
      </c>
      <c r="M58" s="91">
        <v>39</v>
      </c>
    </row>
    <row r="59" spans="1:13" ht="12.75">
      <c r="A59" s="139" t="s">
        <v>282</v>
      </c>
      <c r="B59" s="96"/>
      <c r="C59" s="96"/>
      <c r="D59" s="96"/>
      <c r="E59" s="22">
        <v>40</v>
      </c>
      <c r="F59" s="29">
        <f>F23+F40+F58</f>
        <v>41407</v>
      </c>
      <c r="G59" s="29">
        <f>G23+G40+G58</f>
        <v>0</v>
      </c>
      <c r="H59" s="30">
        <f>H58</f>
        <v>0</v>
      </c>
      <c r="I59" s="30">
        <f>I58</f>
        <v>0</v>
      </c>
      <c r="J59" s="30">
        <f>J23+J40+J58</f>
        <v>12883</v>
      </c>
      <c r="K59" s="29">
        <f>SUM(F59:I59)</f>
        <v>41407</v>
      </c>
      <c r="L59" s="12">
        <f t="shared" si="0"/>
        <v>2.214</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5/16&amp;C&amp;"Arial,Bold"FY 2017&amp;R&amp;"Arial,Bold"Page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9">
      <selection activeCell="F48" sqref="F48"/>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59" t="str">
        <f>Cover!D1</f>
        <v>James Sandoval Preparatory High School</v>
      </c>
      <c r="E1" s="359"/>
      <c r="F1" s="359"/>
      <c r="G1" s="69"/>
      <c r="H1" s="17"/>
      <c r="I1" s="70" t="s">
        <v>54</v>
      </c>
      <c r="J1" s="346" t="str">
        <f>Cover!M1</f>
        <v>Maricopa</v>
      </c>
      <c r="K1" s="346"/>
      <c r="L1" s="17"/>
      <c r="M1" s="70" t="s">
        <v>91</v>
      </c>
      <c r="N1" s="346" t="str">
        <f>Cover!R1</f>
        <v>078928000</v>
      </c>
      <c r="O1" s="346"/>
      <c r="P1" s="17"/>
    </row>
    <row r="2" spans="1:16" ht="12.75">
      <c r="A2" s="71"/>
      <c r="B2" s="71"/>
      <c r="C2" s="255"/>
      <c r="D2" s="71"/>
      <c r="E2" s="71"/>
      <c r="F2" s="71"/>
      <c r="G2" s="71"/>
      <c r="H2" s="71"/>
      <c r="I2" s="71"/>
      <c r="J2" s="71"/>
      <c r="K2" s="14"/>
      <c r="L2" s="14"/>
      <c r="M2" s="14"/>
      <c r="N2" s="14"/>
      <c r="O2" s="17"/>
      <c r="P2" s="17"/>
    </row>
    <row r="3" spans="1:16" ht="12.75">
      <c r="A3" s="72"/>
      <c r="B3" s="73"/>
      <c r="C3" s="73"/>
      <c r="D3" s="358"/>
      <c r="E3" s="74"/>
      <c r="F3" s="75" t="s">
        <v>143</v>
      </c>
      <c r="G3" s="76"/>
      <c r="H3" s="77"/>
      <c r="I3" s="77"/>
      <c r="J3" s="78" t="s">
        <v>15</v>
      </c>
      <c r="K3" s="1"/>
      <c r="L3" s="1"/>
      <c r="M3" s="79" t="s">
        <v>62</v>
      </c>
      <c r="N3" s="80"/>
      <c r="O3" s="77"/>
      <c r="P3" s="17"/>
    </row>
    <row r="4" spans="1:16" ht="12.75">
      <c r="A4" s="4"/>
      <c r="B4" s="14"/>
      <c r="C4" s="14"/>
      <c r="D4" s="347"/>
      <c r="E4" s="81"/>
      <c r="F4" s="82" t="s">
        <v>141</v>
      </c>
      <c r="G4" s="83"/>
      <c r="H4" s="84"/>
      <c r="I4" s="84" t="s">
        <v>142</v>
      </c>
      <c r="J4" s="84" t="s">
        <v>18</v>
      </c>
      <c r="K4" s="85"/>
      <c r="L4" s="85"/>
      <c r="M4" s="85"/>
      <c r="N4" s="85"/>
      <c r="O4" s="84" t="s">
        <v>64</v>
      </c>
      <c r="P4" s="17"/>
    </row>
    <row r="5" spans="1:16" ht="12.75">
      <c r="A5" s="4" t="s">
        <v>94</v>
      </c>
      <c r="B5" s="14"/>
      <c r="C5" s="14"/>
      <c r="D5" s="14"/>
      <c r="E5" s="81"/>
      <c r="F5" s="280" t="s">
        <v>251</v>
      </c>
      <c r="G5" s="78" t="s">
        <v>63</v>
      </c>
      <c r="H5" s="84" t="s">
        <v>16</v>
      </c>
      <c r="I5" s="84" t="s">
        <v>17</v>
      </c>
      <c r="J5" s="84" t="s">
        <v>21</v>
      </c>
      <c r="K5" s="84" t="s">
        <v>19</v>
      </c>
      <c r="L5" s="84" t="s">
        <v>20</v>
      </c>
      <c r="M5" s="279" t="s">
        <v>252</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2016</v>
      </c>
      <c r="N6" s="84">
        <v>2017</v>
      </c>
      <c r="O6" s="84" t="s">
        <v>66</v>
      </c>
      <c r="P6" s="17"/>
    </row>
    <row r="7" spans="1:16" ht="12.75">
      <c r="A7" s="270" t="s">
        <v>170</v>
      </c>
      <c r="B7" s="257"/>
      <c r="C7" s="257"/>
      <c r="D7" s="257"/>
      <c r="E7" s="185"/>
      <c r="F7" s="187"/>
      <c r="G7" s="188"/>
      <c r="H7" s="128"/>
      <c r="I7" s="128"/>
      <c r="J7" s="128"/>
      <c r="K7" s="128"/>
      <c r="L7" s="130"/>
      <c r="M7" s="187"/>
      <c r="N7" s="187"/>
      <c r="O7" s="187"/>
      <c r="P7" s="17"/>
    </row>
    <row r="8" spans="1:16" ht="12.75">
      <c r="A8" s="88"/>
      <c r="B8" s="14" t="s">
        <v>169</v>
      </c>
      <c r="C8" s="14"/>
      <c r="D8" s="14"/>
      <c r="E8" s="3"/>
      <c r="F8" s="189"/>
      <c r="G8" s="190"/>
      <c r="H8" s="182"/>
      <c r="I8" s="182"/>
      <c r="J8" s="182"/>
      <c r="K8" s="182"/>
      <c r="L8" s="172"/>
      <c r="M8" s="182"/>
      <c r="N8" s="182"/>
      <c r="O8" s="173"/>
      <c r="P8" s="17"/>
    </row>
    <row r="9" spans="1:16" ht="12.75">
      <c r="A9" s="88"/>
      <c r="B9" s="17"/>
      <c r="C9" s="14" t="s">
        <v>23</v>
      </c>
      <c r="D9" s="14"/>
      <c r="E9" s="3">
        <v>1</v>
      </c>
      <c r="F9" s="144">
        <v>0</v>
      </c>
      <c r="G9" s="186"/>
      <c r="H9" s="106"/>
      <c r="I9" s="106"/>
      <c r="J9" s="106"/>
      <c r="K9" s="106"/>
      <c r="L9" s="169"/>
      <c r="M9" s="106">
        <f>[1]!SEIP1071P260F1000</f>
        <v>0</v>
      </c>
      <c r="N9" s="108">
        <f>SUM(H7:L9)</f>
        <v>0</v>
      </c>
      <c r="O9" s="168" t="str">
        <f>IF(M9=0," ",(N9-M9)/M9)</f>
        <v> </v>
      </c>
      <c r="P9" s="2">
        <v>1</v>
      </c>
    </row>
    <row r="10" spans="1:16" ht="12.75">
      <c r="A10" s="88"/>
      <c r="B10" s="17"/>
      <c r="C10" s="14" t="s">
        <v>24</v>
      </c>
      <c r="D10" s="14"/>
      <c r="E10" s="3"/>
      <c r="F10" s="187"/>
      <c r="G10" s="188"/>
      <c r="H10" s="128"/>
      <c r="I10" s="128"/>
      <c r="J10" s="128"/>
      <c r="K10" s="128"/>
      <c r="L10" s="130"/>
      <c r="M10" s="187"/>
      <c r="N10" s="187"/>
      <c r="O10" s="187"/>
      <c r="P10" s="2"/>
    </row>
    <row r="11" spans="1:16" ht="12.75">
      <c r="A11" s="88"/>
      <c r="B11" s="14"/>
      <c r="C11" s="14" t="s">
        <v>163</v>
      </c>
      <c r="D11" s="14"/>
      <c r="E11" s="3">
        <v>2</v>
      </c>
      <c r="F11" s="144">
        <v>0</v>
      </c>
      <c r="G11" s="186"/>
      <c r="H11" s="106"/>
      <c r="I11" s="106"/>
      <c r="J11" s="106"/>
      <c r="K11" s="106"/>
      <c r="L11" s="169"/>
      <c r="M11" s="106">
        <f>[1]!SEIP1071P260F2100</f>
        <v>0</v>
      </c>
      <c r="N11" s="108">
        <f>SUM(H10:L11)</f>
        <v>0</v>
      </c>
      <c r="O11" s="168" t="str">
        <f>IF(M11=0," ",(N11-M11)/M11)</f>
        <v> </v>
      </c>
      <c r="P11" s="2">
        <v>2</v>
      </c>
    </row>
    <row r="12" spans="1:16" ht="12.75">
      <c r="A12" s="88"/>
      <c r="B12" s="14"/>
      <c r="C12" s="14" t="s">
        <v>166</v>
      </c>
      <c r="D12" s="14"/>
      <c r="E12" s="21">
        <v>3</v>
      </c>
      <c r="F12" s="144">
        <v>0</v>
      </c>
      <c r="G12" s="134"/>
      <c r="H12" s="135"/>
      <c r="I12" s="135"/>
      <c r="J12" s="135"/>
      <c r="K12" s="135"/>
      <c r="L12" s="135"/>
      <c r="M12" s="34">
        <f>[1]!SEIP1071P260F2200</f>
        <v>0</v>
      </c>
      <c r="N12" s="6">
        <f aca="true" t="shared" si="0" ref="N12:N17">SUM(H12:L12)</f>
        <v>0</v>
      </c>
      <c r="O12" s="167" t="str">
        <f aca="true" t="shared" si="1" ref="O12:O18">IF(M12=0," ",(N12-M12)/M12)</f>
        <v> </v>
      </c>
      <c r="P12" s="91">
        <v>3</v>
      </c>
    </row>
    <row r="13" spans="1:16" ht="12.75">
      <c r="A13" s="88"/>
      <c r="B13" s="14"/>
      <c r="C13" s="14" t="s">
        <v>164</v>
      </c>
      <c r="D13" s="14"/>
      <c r="E13" s="21">
        <v>4</v>
      </c>
      <c r="F13" s="143">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3">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3">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3">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3">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1">
        <f>SUM(F8:F17)</f>
        <v>0</v>
      </c>
      <c r="G18" s="95">
        <f aca="true" t="shared" si="2" ref="G18:L18">SUM(G7:G17)</f>
        <v>0</v>
      </c>
      <c r="H18" s="6">
        <f t="shared" si="2"/>
        <v>0</v>
      </c>
      <c r="I18" s="6">
        <f t="shared" si="2"/>
        <v>0</v>
      </c>
      <c r="J18" s="6">
        <f t="shared" si="2"/>
        <v>0</v>
      </c>
      <c r="K18" s="6">
        <f t="shared" si="2"/>
        <v>0</v>
      </c>
      <c r="L18" s="6">
        <f t="shared" si="2"/>
        <v>0</v>
      </c>
      <c r="M18" s="165">
        <f>SUM(M8:M17)</f>
        <v>0</v>
      </c>
      <c r="N18" s="165">
        <f>SUM(N8:N17)</f>
        <v>0</v>
      </c>
      <c r="O18" s="166" t="str">
        <f t="shared" si="1"/>
        <v> </v>
      </c>
      <c r="P18" s="2">
        <v>9</v>
      </c>
    </row>
    <row r="19" spans="1:16" ht="12.75">
      <c r="A19" s="88"/>
      <c r="B19" s="138" t="s">
        <v>174</v>
      </c>
      <c r="C19" s="14"/>
      <c r="D19" s="14"/>
      <c r="E19" s="3"/>
      <c r="F19" s="187"/>
      <c r="G19" s="188"/>
      <c r="H19" s="128"/>
      <c r="I19" s="128"/>
      <c r="J19" s="128"/>
      <c r="K19" s="128"/>
      <c r="L19" s="130"/>
      <c r="M19" s="187"/>
      <c r="N19" s="193"/>
      <c r="O19" s="187"/>
      <c r="P19" s="2"/>
    </row>
    <row r="20" spans="1:16" ht="12.75">
      <c r="A20" s="88"/>
      <c r="B20" s="17"/>
      <c r="C20" s="14" t="s">
        <v>24</v>
      </c>
      <c r="D20" s="14"/>
      <c r="E20" s="3"/>
      <c r="F20" s="189"/>
      <c r="G20" s="190"/>
      <c r="H20" s="182"/>
      <c r="I20" s="182"/>
      <c r="J20" s="182"/>
      <c r="K20" s="182"/>
      <c r="L20" s="172"/>
      <c r="M20" s="182"/>
      <c r="N20" s="172"/>
      <c r="O20" s="183"/>
      <c r="P20" s="2"/>
    </row>
    <row r="21" spans="1:16" ht="12.75">
      <c r="A21" s="88"/>
      <c r="B21" s="17"/>
      <c r="C21" s="14" t="s">
        <v>172</v>
      </c>
      <c r="D21" s="14"/>
      <c r="E21" s="3">
        <v>10</v>
      </c>
      <c r="F21" s="144">
        <v>0</v>
      </c>
      <c r="G21" s="186"/>
      <c r="H21" s="106"/>
      <c r="I21" s="106"/>
      <c r="J21" s="106"/>
      <c r="K21" s="106"/>
      <c r="L21" s="169"/>
      <c r="M21" s="106">
        <f>[1]!SEIP1071P430F2700</f>
        <v>0</v>
      </c>
      <c r="N21" s="170">
        <f>SUM(H19:L21)</f>
        <v>0</v>
      </c>
      <c r="O21" s="184"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2"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80" t="s">
        <v>251</v>
      </c>
      <c r="G26" s="78" t="s">
        <v>63</v>
      </c>
      <c r="H26" s="84" t="s">
        <v>16</v>
      </c>
      <c r="I26" s="84" t="s">
        <v>17</v>
      </c>
      <c r="J26" s="84" t="s">
        <v>21</v>
      </c>
      <c r="K26" s="84" t="s">
        <v>19</v>
      </c>
      <c r="L26" s="84" t="s">
        <v>20</v>
      </c>
      <c r="M26" s="279" t="s">
        <v>252</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2016</v>
      </c>
      <c r="N27" s="84">
        <v>2017</v>
      </c>
      <c r="O27" s="84" t="s">
        <v>66</v>
      </c>
      <c r="P27" s="17"/>
    </row>
    <row r="28" spans="1:16" ht="12.75">
      <c r="A28" s="270" t="s">
        <v>145</v>
      </c>
      <c r="B28" s="257"/>
      <c r="C28" s="257"/>
      <c r="D28" s="257"/>
      <c r="E28" s="185"/>
      <c r="F28" s="187"/>
      <c r="G28" s="188"/>
      <c r="H28" s="128"/>
      <c r="I28" s="128"/>
      <c r="J28" s="128"/>
      <c r="K28" s="128"/>
      <c r="L28" s="130"/>
      <c r="M28" s="187"/>
      <c r="N28" s="187"/>
      <c r="O28" s="187"/>
      <c r="P28" s="17"/>
    </row>
    <row r="29" spans="1:16" ht="12.75">
      <c r="A29" s="88"/>
      <c r="B29" s="14" t="s">
        <v>146</v>
      </c>
      <c r="C29" s="14"/>
      <c r="D29" s="14"/>
      <c r="E29" s="3"/>
      <c r="F29" s="189"/>
      <c r="G29" s="190"/>
      <c r="H29" s="182"/>
      <c r="I29" s="182"/>
      <c r="J29" s="182"/>
      <c r="K29" s="182"/>
      <c r="L29" s="172"/>
      <c r="M29" s="182"/>
      <c r="N29" s="182"/>
      <c r="O29" s="173"/>
      <c r="P29" s="17"/>
    </row>
    <row r="30" spans="1:16" ht="12.75">
      <c r="A30" s="88"/>
      <c r="B30" s="17"/>
      <c r="C30" s="14" t="s">
        <v>23</v>
      </c>
      <c r="D30" s="14"/>
      <c r="E30" s="3">
        <v>12</v>
      </c>
      <c r="F30" s="144">
        <v>0</v>
      </c>
      <c r="G30" s="186"/>
      <c r="H30" s="106"/>
      <c r="I30" s="106"/>
      <c r="J30" s="106"/>
      <c r="K30" s="106"/>
      <c r="L30" s="169"/>
      <c r="M30" s="106">
        <f>[1]!CIP1072P265F1000</f>
        <v>0</v>
      </c>
      <c r="N30" s="108">
        <f>SUM(H28:L30)</f>
        <v>0</v>
      </c>
      <c r="O30" s="168" t="str">
        <f>IF(M30=0," ",(N30-M30)/M30)</f>
        <v> </v>
      </c>
      <c r="P30" s="2">
        <v>12</v>
      </c>
    </row>
    <row r="31" spans="1:16" ht="12.75">
      <c r="A31" s="88"/>
      <c r="B31" s="17"/>
      <c r="C31" s="14" t="s">
        <v>24</v>
      </c>
      <c r="D31" s="14"/>
      <c r="E31" s="3"/>
      <c r="F31" s="187"/>
      <c r="G31" s="188"/>
      <c r="H31" s="128"/>
      <c r="I31" s="128"/>
      <c r="J31" s="128"/>
      <c r="K31" s="128"/>
      <c r="L31" s="130"/>
      <c r="M31" s="187"/>
      <c r="N31" s="187"/>
      <c r="O31" s="187"/>
      <c r="P31" s="17"/>
    </row>
    <row r="32" spans="1:16" ht="12.75">
      <c r="A32" s="88"/>
      <c r="B32" s="17"/>
      <c r="C32" s="14" t="s">
        <v>163</v>
      </c>
      <c r="D32" s="14"/>
      <c r="E32" s="3">
        <v>13</v>
      </c>
      <c r="F32" s="144">
        <v>0</v>
      </c>
      <c r="G32" s="186"/>
      <c r="H32" s="106"/>
      <c r="I32" s="106"/>
      <c r="J32" s="106"/>
      <c r="K32" s="106"/>
      <c r="L32" s="169"/>
      <c r="M32" s="106">
        <f>[1]!CIP1072P265F2100</f>
        <v>0</v>
      </c>
      <c r="N32" s="108">
        <f>SUM(H31:L32)</f>
        <v>0</v>
      </c>
      <c r="O32" s="168" t="str">
        <f>IF(M32=0," ",(N32-M32)/M32)</f>
        <v> </v>
      </c>
      <c r="P32" s="2">
        <v>13</v>
      </c>
    </row>
    <row r="33" spans="1:16" ht="12.75">
      <c r="A33" s="88"/>
      <c r="B33" s="17"/>
      <c r="C33" s="14" t="s">
        <v>166</v>
      </c>
      <c r="D33" s="14"/>
      <c r="E33" s="21">
        <v>14</v>
      </c>
      <c r="F33" s="144">
        <v>0</v>
      </c>
      <c r="G33" s="134"/>
      <c r="H33" s="135"/>
      <c r="I33" s="135"/>
      <c r="J33" s="135"/>
      <c r="K33" s="135"/>
      <c r="L33" s="135"/>
      <c r="M33" s="34">
        <f>[1]!CIP1072P265F2200</f>
        <v>0</v>
      </c>
      <c r="N33" s="6">
        <f aca="true" t="shared" si="4" ref="N33:N38">SUM(H33:L33)</f>
        <v>0</v>
      </c>
      <c r="O33" s="167" t="str">
        <f aca="true" t="shared" si="5" ref="O33:O39">IF(M33=0," ",(N33-M33)/M33)</f>
        <v> </v>
      </c>
      <c r="P33" s="91">
        <v>14</v>
      </c>
    </row>
    <row r="34" spans="1:16" ht="12.75">
      <c r="A34" s="88"/>
      <c r="B34" s="17"/>
      <c r="C34" s="14" t="s">
        <v>164</v>
      </c>
      <c r="D34" s="14"/>
      <c r="E34" s="21">
        <v>15</v>
      </c>
      <c r="F34" s="144">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4">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4">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3">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4">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9">
        <f>SUM(F29:F38)</f>
        <v>0</v>
      </c>
      <c r="G39" s="95">
        <f aca="true" t="shared" si="6" ref="G39:L39">SUM(G28:G38)</f>
        <v>0</v>
      </c>
      <c r="H39" s="6">
        <f t="shared" si="6"/>
        <v>0</v>
      </c>
      <c r="I39" s="6">
        <f t="shared" si="6"/>
        <v>0</v>
      </c>
      <c r="J39" s="6">
        <f t="shared" si="6"/>
        <v>0</v>
      </c>
      <c r="K39" s="6">
        <f t="shared" si="6"/>
        <v>0</v>
      </c>
      <c r="L39" s="6">
        <f t="shared" si="6"/>
        <v>0</v>
      </c>
      <c r="M39" s="165">
        <f>SUM(M29:M38)</f>
        <v>0</v>
      </c>
      <c r="N39" s="165">
        <f>SUM(N29:N38)</f>
        <v>0</v>
      </c>
      <c r="O39" s="166" t="str">
        <f t="shared" si="5"/>
        <v> </v>
      </c>
      <c r="P39" s="2">
        <v>20</v>
      </c>
    </row>
    <row r="40" spans="1:16" ht="12.75">
      <c r="A40" s="88"/>
      <c r="B40" s="138" t="s">
        <v>175</v>
      </c>
      <c r="C40" s="14"/>
      <c r="D40" s="14"/>
      <c r="E40" s="3"/>
      <c r="F40" s="187"/>
      <c r="G40" s="188"/>
      <c r="H40" s="128"/>
      <c r="I40" s="128"/>
      <c r="J40" s="128"/>
      <c r="K40" s="128"/>
      <c r="L40" s="130"/>
      <c r="M40" s="187"/>
      <c r="N40" s="187"/>
      <c r="O40" s="187"/>
      <c r="P40" s="2"/>
    </row>
    <row r="41" spans="1:16" ht="12.75">
      <c r="A41" s="88"/>
      <c r="B41" s="17"/>
      <c r="C41" s="14" t="s">
        <v>24</v>
      </c>
      <c r="D41" s="14"/>
      <c r="E41" s="3"/>
      <c r="F41" s="189"/>
      <c r="G41" s="190"/>
      <c r="H41" s="182"/>
      <c r="I41" s="182"/>
      <c r="J41" s="182"/>
      <c r="K41" s="182"/>
      <c r="L41" s="172"/>
      <c r="M41" s="182"/>
      <c r="N41" s="182"/>
      <c r="O41" s="183"/>
      <c r="P41" s="2"/>
    </row>
    <row r="42" spans="1:16" ht="12.75">
      <c r="A42" s="88"/>
      <c r="B42" s="17"/>
      <c r="C42" s="14" t="s">
        <v>172</v>
      </c>
      <c r="D42" s="14"/>
      <c r="E42" s="3">
        <v>21</v>
      </c>
      <c r="F42" s="144">
        <v>0</v>
      </c>
      <c r="G42" s="186"/>
      <c r="H42" s="106"/>
      <c r="I42" s="106"/>
      <c r="J42" s="106"/>
      <c r="K42" s="106"/>
      <c r="L42" s="169"/>
      <c r="M42" s="106">
        <f>[1]!CIP1072P435F2700</f>
        <v>0</v>
      </c>
      <c r="N42" s="108">
        <f>SUM(H40:L42)</f>
        <v>0</v>
      </c>
      <c r="O42" s="184"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2"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5/16&amp;C&amp;"Arial,Bold"FY 2017&amp;R&amp;"Arial,Bold"Page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L12" sqref="L12"/>
    </sheetView>
  </sheetViews>
  <sheetFormatPr defaultColWidth="9.140625" defaultRowHeight="12.75"/>
  <cols>
    <col min="1" max="2" width="1.57421875" style="197" customWidth="1"/>
    <col min="3" max="3" width="42.140625" style="197" customWidth="1"/>
    <col min="4" max="5" width="12.7109375" style="197" customWidth="1"/>
    <col min="6" max="6" width="9.7109375" style="197" customWidth="1"/>
    <col min="7" max="7" width="4.7109375" style="197" customWidth="1"/>
    <col min="8" max="8" width="27.28125" style="197" customWidth="1"/>
    <col min="9" max="9" width="5.28125" style="197" customWidth="1"/>
    <col min="10" max="12" width="12.7109375" style="197" customWidth="1"/>
    <col min="13" max="13" width="9.7109375" style="197" customWidth="1"/>
    <col min="14" max="16384" width="9.140625" style="197" customWidth="1"/>
  </cols>
  <sheetData>
    <row r="1" spans="1:12" ht="23.25" customHeight="1">
      <c r="A1" s="362" t="s">
        <v>266</v>
      </c>
      <c r="B1" s="362"/>
      <c r="C1" s="362"/>
      <c r="D1" s="362"/>
      <c r="E1" s="362"/>
      <c r="F1" s="362"/>
      <c r="G1" s="362"/>
      <c r="H1" s="362"/>
      <c r="I1" s="362"/>
      <c r="J1" s="362"/>
      <c r="K1" s="198" t="s">
        <v>194</v>
      </c>
      <c r="L1" s="199" t="str">
        <f>[0]!CTD</f>
        <v>078928000</v>
      </c>
    </row>
    <row r="2" ht="3.75" customHeight="1"/>
    <row r="3" spans="1:13" ht="12" customHeight="1">
      <c r="A3" s="217" t="s">
        <v>215</v>
      </c>
      <c r="B3" s="218"/>
      <c r="C3" s="218"/>
      <c r="D3" s="372" t="s">
        <v>62</v>
      </c>
      <c r="E3" s="373"/>
      <c r="F3" s="211" t="s">
        <v>64</v>
      </c>
      <c r="H3" s="363" t="str">
        <f>"The budget of "&amp;IF(Cover!$D$3=0,Cover!$D$1,Cover!$D$1&amp;" (d.b.a. "&amp;Cover!$D$3&amp;")")&amp;" for fiscal year 2017 was officially proposed by the Governing Board on "&amp;TEXT(Cover!$F$24,"mmmm dd, yyyy")&amp;". The complete budget may be reviewed by contacting "&amp;Cover!$O$25&amp;" at "&amp;Cover!$M$26&amp;" or "&amp;Cover!$P$26&amp;"."</f>
        <v>The budget of James Sandoval Preparatory High School for fiscal year 2017 was officially proposed by the Governing Board on June 15, 2016. The complete budget may be reviewed by contacting Steve Durand at 623-204-4700 or .</v>
      </c>
      <c r="I3" s="364"/>
      <c r="J3" s="364"/>
      <c r="K3" s="364"/>
      <c r="L3" s="364"/>
      <c r="M3" s="365"/>
    </row>
    <row r="4" spans="1:13" ht="12" customHeight="1">
      <c r="A4" s="219"/>
      <c r="D4" s="211" t="s">
        <v>252</v>
      </c>
      <c r="E4" s="211" t="s">
        <v>56</v>
      </c>
      <c r="F4" s="220" t="s">
        <v>65</v>
      </c>
      <c r="H4" s="366"/>
      <c r="I4" s="367"/>
      <c r="J4" s="367"/>
      <c r="K4" s="367"/>
      <c r="L4" s="367"/>
      <c r="M4" s="368"/>
    </row>
    <row r="5" spans="1:13" ht="12" customHeight="1">
      <c r="A5" s="219" t="s">
        <v>22</v>
      </c>
      <c r="D5" s="200">
        <v>2016</v>
      </c>
      <c r="E5" s="200">
        <v>2017</v>
      </c>
      <c r="F5" s="221" t="s">
        <v>66</v>
      </c>
      <c r="H5" s="366"/>
      <c r="I5" s="367"/>
      <c r="J5" s="367"/>
      <c r="K5" s="367"/>
      <c r="L5" s="367"/>
      <c r="M5" s="368"/>
    </row>
    <row r="6" spans="1:13" ht="12" customHeight="1">
      <c r="A6" s="219"/>
      <c r="B6" s="197" t="s">
        <v>23</v>
      </c>
      <c r="D6" s="202">
        <f>SP1000P100F1000CY</f>
        <v>126106</v>
      </c>
      <c r="E6" s="202">
        <f>SP1000P100F1000</f>
        <v>151965</v>
      </c>
      <c r="F6" s="222">
        <f>IF(D6=0," ",(E6-D6)/D6)</f>
        <v>0.205</v>
      </c>
      <c r="H6" s="366"/>
      <c r="I6" s="367"/>
      <c r="J6" s="367"/>
      <c r="K6" s="367"/>
      <c r="L6" s="367"/>
      <c r="M6" s="368"/>
    </row>
    <row r="7" spans="1:13" ht="12" customHeight="1">
      <c r="A7" s="219"/>
      <c r="B7" s="197" t="s">
        <v>24</v>
      </c>
      <c r="D7" s="203"/>
      <c r="E7" s="240"/>
      <c r="F7" s="241"/>
      <c r="H7" s="369"/>
      <c r="I7" s="370"/>
      <c r="J7" s="370"/>
      <c r="K7" s="370"/>
      <c r="L7" s="370"/>
      <c r="M7" s="371"/>
    </row>
    <row r="8" spans="1:11" ht="12" customHeight="1">
      <c r="A8" s="219"/>
      <c r="C8" s="197" t="s">
        <v>195</v>
      </c>
      <c r="D8" s="204">
        <f>SP1000P100F2100CY</f>
        <v>3139</v>
      </c>
      <c r="E8" s="239">
        <f>SP1000P100F2100</f>
        <v>3230</v>
      </c>
      <c r="F8" s="223">
        <f>IF(D8=0," ",(E8-D8)/D8)</f>
        <v>0.029</v>
      </c>
      <c r="H8" s="215"/>
      <c r="I8" s="215"/>
      <c r="J8" s="215"/>
      <c r="K8" s="215"/>
    </row>
    <row r="9" spans="1:13" ht="12" customHeight="1">
      <c r="A9" s="219"/>
      <c r="C9" s="197" t="s">
        <v>196</v>
      </c>
      <c r="D9" s="201">
        <f>SP1000P100F2200CY</f>
        <v>16375</v>
      </c>
      <c r="E9" s="201">
        <f>SP1000P100F2200</f>
        <v>17352</v>
      </c>
      <c r="F9" s="226">
        <f>IF(D9=0," ",(E9-D9)/D9)</f>
        <v>0.06</v>
      </c>
      <c r="H9" s="228"/>
      <c r="I9" s="218"/>
      <c r="J9" s="229"/>
      <c r="K9" s="374" t="s">
        <v>62</v>
      </c>
      <c r="L9" s="375"/>
      <c r="M9" s="211" t="s">
        <v>64</v>
      </c>
    </row>
    <row r="10" spans="1:13" ht="12" customHeight="1">
      <c r="A10" s="219"/>
      <c r="C10" s="197" t="s">
        <v>197</v>
      </c>
      <c r="D10" s="201">
        <f>SP1000P100F2300CY</f>
        <v>0</v>
      </c>
      <c r="E10" s="201">
        <f>SP1000P100F2300</f>
        <v>0</v>
      </c>
      <c r="F10" s="222" t="str">
        <f aca="true" t="shared" si="0" ref="F10:F21">IF(D10=0," ",(E10-D10)/D10)</f>
        <v> </v>
      </c>
      <c r="H10" s="230" t="s">
        <v>209</v>
      </c>
      <c r="I10" s="234"/>
      <c r="J10" s="235"/>
      <c r="K10" s="211" t="s">
        <v>252</v>
      </c>
      <c r="L10" s="211" t="s">
        <v>56</v>
      </c>
      <c r="M10" s="220" t="s">
        <v>65</v>
      </c>
    </row>
    <row r="11" spans="1:13" ht="12" customHeight="1">
      <c r="A11" s="219"/>
      <c r="C11" s="197" t="s">
        <v>198</v>
      </c>
      <c r="D11" s="201">
        <f>SP1000P100F2400CY</f>
        <v>55781</v>
      </c>
      <c r="E11" s="201">
        <f>SP1000P100F2400</f>
        <v>58091</v>
      </c>
      <c r="F11" s="222">
        <f t="shared" si="0"/>
        <v>0.041</v>
      </c>
      <c r="H11" s="231"/>
      <c r="I11" s="236"/>
      <c r="J11" s="205"/>
      <c r="K11" s="200">
        <v>2016</v>
      </c>
      <c r="L11" s="200">
        <v>2017</v>
      </c>
      <c r="M11" s="221" t="s">
        <v>66</v>
      </c>
    </row>
    <row r="12" spans="1:13" ht="12" customHeight="1">
      <c r="A12" s="219"/>
      <c r="C12" s="197" t="s">
        <v>199</v>
      </c>
      <c r="D12" s="201">
        <f>SP1000P100F2500CY</f>
        <v>54377</v>
      </c>
      <c r="E12" s="201">
        <f>SP1000P100F2500</f>
        <v>56994</v>
      </c>
      <c r="F12" s="222">
        <f t="shared" si="0"/>
        <v>0.048</v>
      </c>
      <c r="H12" s="232" t="s">
        <v>290</v>
      </c>
      <c r="I12" s="198"/>
      <c r="J12" s="235"/>
      <c r="K12" s="202">
        <f>'Page 2'!M5</f>
        <v>31741</v>
      </c>
      <c r="L12" s="202">
        <f>'Page 2'!N5</f>
        <v>32002</v>
      </c>
      <c r="M12" s="222">
        <f aca="true" t="shared" si="1" ref="M12:M19">IF(K12=0," ",(L12-K12)/K12)</f>
        <v>0.008</v>
      </c>
    </row>
    <row r="13" spans="1:13" ht="12" customHeight="1">
      <c r="A13" s="219"/>
      <c r="C13" s="197" t="s">
        <v>200</v>
      </c>
      <c r="D13" s="201">
        <f>SP1000P100F2600CY</f>
        <v>103781</v>
      </c>
      <c r="E13" s="201">
        <f>SP1000P100F2600</f>
        <v>112766</v>
      </c>
      <c r="F13" s="222">
        <f t="shared" si="0"/>
        <v>0.087</v>
      </c>
      <c r="H13" s="232" t="s">
        <v>34</v>
      </c>
      <c r="I13" s="198"/>
      <c r="J13" s="235"/>
      <c r="K13" s="202">
        <f>P200GiftedEducationCY</f>
        <v>0</v>
      </c>
      <c r="L13" s="201">
        <f>P200GiftedEducation</f>
        <v>0</v>
      </c>
      <c r="M13" s="222" t="str">
        <f t="shared" si="1"/>
        <v> </v>
      </c>
    </row>
    <row r="14" spans="1:13" ht="12" customHeight="1">
      <c r="A14" s="219"/>
      <c r="C14" s="197" t="s">
        <v>201</v>
      </c>
      <c r="D14" s="201">
        <f>SP1000P100F2900CY</f>
        <v>0</v>
      </c>
      <c r="E14" s="201">
        <f>SP1000P100F2900</f>
        <v>0</v>
      </c>
      <c r="F14" s="222" t="str">
        <f t="shared" si="0"/>
        <v> </v>
      </c>
      <c r="H14" s="232" t="s">
        <v>147</v>
      </c>
      <c r="I14" s="198"/>
      <c r="J14" s="235"/>
      <c r="K14" s="202">
        <f>P200ELLIncrementalCostsCY</f>
        <v>0</v>
      </c>
      <c r="L14" s="201">
        <f>P200ELLIncrementalCosts</f>
        <v>0</v>
      </c>
      <c r="M14" s="222" t="str">
        <f t="shared" si="1"/>
        <v> </v>
      </c>
    </row>
    <row r="15" spans="1:13" ht="12" customHeight="1">
      <c r="A15" s="219"/>
      <c r="B15" s="197" t="s">
        <v>27</v>
      </c>
      <c r="D15" s="201">
        <f>SP1000P100F3000CY</f>
        <v>38804</v>
      </c>
      <c r="E15" s="201">
        <f>SP1000P100F3000</f>
        <v>39192</v>
      </c>
      <c r="F15" s="222">
        <f t="shared" si="0"/>
        <v>0.01</v>
      </c>
      <c r="H15" s="232" t="s">
        <v>148</v>
      </c>
      <c r="I15" s="198"/>
      <c r="J15" s="235"/>
      <c r="K15" s="201">
        <f>P200ELLCompensatoryInstructionCY</f>
        <v>0</v>
      </c>
      <c r="L15" s="201">
        <f>P200ELLCompensatoryInstruction</f>
        <v>0</v>
      </c>
      <c r="M15" s="222" t="str">
        <f t="shared" si="1"/>
        <v> </v>
      </c>
    </row>
    <row r="16" spans="1:13" ht="12" customHeight="1">
      <c r="A16" s="219"/>
      <c r="B16" s="197" t="s">
        <v>152</v>
      </c>
      <c r="D16" s="201">
        <f>SP1000P100F4000CY</f>
        <v>0</v>
      </c>
      <c r="E16" s="201">
        <f>SP1000P100F4000</f>
        <v>0</v>
      </c>
      <c r="F16" s="222" t="str">
        <f t="shared" si="0"/>
        <v> </v>
      </c>
      <c r="H16" s="232" t="s">
        <v>35</v>
      </c>
      <c r="I16" s="198"/>
      <c r="J16" s="235"/>
      <c r="K16" s="201">
        <f>P200RemedialEducationCY</f>
        <v>0</v>
      </c>
      <c r="L16" s="201">
        <f>P200RemedialEducation</f>
        <v>0</v>
      </c>
      <c r="M16" s="222" t="str">
        <f t="shared" si="1"/>
        <v> </v>
      </c>
    </row>
    <row r="17" spans="1:13" ht="12" customHeight="1">
      <c r="A17" s="219"/>
      <c r="B17" s="197" t="s">
        <v>28</v>
      </c>
      <c r="D17" s="201">
        <f>SP1000P100F5000CY</f>
        <v>0</v>
      </c>
      <c r="E17" s="201">
        <f>SP1000P100F5000</f>
        <v>0</v>
      </c>
      <c r="F17" s="222" t="str">
        <f t="shared" si="0"/>
        <v> </v>
      </c>
      <c r="H17" s="232" t="s">
        <v>181</v>
      </c>
      <c r="I17" s="198"/>
      <c r="J17" s="235"/>
      <c r="K17" s="201">
        <f>P200VocationalandTechnologicalEdCY</f>
        <v>0</v>
      </c>
      <c r="L17" s="201">
        <f>P200VocationalandTechnologicalEd</f>
        <v>0</v>
      </c>
      <c r="M17" s="222" t="str">
        <f t="shared" si="1"/>
        <v> </v>
      </c>
    </row>
    <row r="18" spans="1:13" ht="12" customHeight="1">
      <c r="A18" s="219" t="s">
        <v>77</v>
      </c>
      <c r="D18" s="201">
        <f>SP1000P610CY</f>
        <v>0</v>
      </c>
      <c r="E18" s="201">
        <f>SP1000P610</f>
        <v>0</v>
      </c>
      <c r="F18" s="222" t="str">
        <f t="shared" si="0"/>
        <v> </v>
      </c>
      <c r="H18" s="232" t="s">
        <v>36</v>
      </c>
      <c r="I18" s="198"/>
      <c r="J18" s="235"/>
      <c r="K18" s="214">
        <f>P200CareerEducationCY</f>
        <v>0</v>
      </c>
      <c r="L18" s="214">
        <f>P200CareerEducation</f>
        <v>0</v>
      </c>
      <c r="M18" s="222" t="str">
        <f t="shared" si="1"/>
        <v> </v>
      </c>
    </row>
    <row r="19" spans="1:13" ht="12" customHeight="1">
      <c r="A19" s="219" t="s">
        <v>79</v>
      </c>
      <c r="D19" s="201">
        <f>SP1000P620CY</f>
        <v>0</v>
      </c>
      <c r="E19" s="201">
        <f>SP1000P620</f>
        <v>0</v>
      </c>
      <c r="F19" s="222" t="str">
        <f t="shared" si="0"/>
        <v> </v>
      </c>
      <c r="H19" s="376" t="s">
        <v>206</v>
      </c>
      <c r="I19" s="377"/>
      <c r="J19" s="377"/>
      <c r="K19" s="201">
        <f>SUM(K12:K18)</f>
        <v>31741</v>
      </c>
      <c r="L19" s="201">
        <f>SUM(L12:L18)</f>
        <v>32002</v>
      </c>
      <c r="M19" s="225">
        <f t="shared" si="1"/>
        <v>0.008</v>
      </c>
    </row>
    <row r="20" spans="1:13" ht="12" customHeight="1">
      <c r="A20" s="219" t="s">
        <v>78</v>
      </c>
      <c r="D20" s="201">
        <f>SP1000P630700800900CY</f>
        <v>0</v>
      </c>
      <c r="E20" s="201">
        <f>SP1000P630700800900</f>
        <v>0</v>
      </c>
      <c r="F20" s="222" t="str">
        <f t="shared" si="0"/>
        <v> </v>
      </c>
      <c r="H20" s="198"/>
      <c r="I20" s="198"/>
      <c r="K20" s="281"/>
      <c r="L20" s="281"/>
      <c r="M20" s="282"/>
    </row>
    <row r="21" spans="1:13" ht="12" customHeight="1">
      <c r="A21" s="224"/>
      <c r="B21" s="199" t="s">
        <v>202</v>
      </c>
      <c r="C21" s="205"/>
      <c r="D21" s="201">
        <f>SUM(D6:D20)</f>
        <v>398363</v>
      </c>
      <c r="E21" s="201">
        <f>SUM(E6:E20)</f>
        <v>439590</v>
      </c>
      <c r="F21" s="222">
        <f t="shared" si="0"/>
        <v>0.103</v>
      </c>
      <c r="H21" s="198"/>
      <c r="I21" s="198"/>
      <c r="K21" s="281"/>
      <c r="L21" s="281"/>
      <c r="M21" s="282"/>
    </row>
    <row r="22" spans="1:13" ht="12" customHeight="1">
      <c r="A22" s="219" t="s">
        <v>29</v>
      </c>
      <c r="D22" s="203"/>
      <c r="E22" s="240"/>
      <c r="F22" s="241"/>
      <c r="H22" s="198"/>
      <c r="I22" s="198"/>
      <c r="K22" s="7"/>
      <c r="L22" s="281"/>
      <c r="M22" s="282"/>
    </row>
    <row r="23" spans="1:13" ht="12" customHeight="1">
      <c r="A23" s="219"/>
      <c r="B23" s="197" t="s">
        <v>23</v>
      </c>
      <c r="D23" s="206">
        <f>SP1000P200F1000CY</f>
        <v>25722</v>
      </c>
      <c r="E23" s="242">
        <f>SP1000P200F1000</f>
        <v>25770</v>
      </c>
      <c r="F23" s="223">
        <f>IF(D23=0," ",(E23-D23)/D23)</f>
        <v>0.002</v>
      </c>
      <c r="H23" s="378" t="s">
        <v>214</v>
      </c>
      <c r="I23" s="379"/>
      <c r="J23" s="379"/>
      <c r="K23" s="379"/>
      <c r="L23" s="380"/>
      <c r="M23" s="282"/>
    </row>
    <row r="24" spans="1:13" ht="12" customHeight="1">
      <c r="A24" s="219"/>
      <c r="B24" s="197" t="s">
        <v>24</v>
      </c>
      <c r="D24" s="207"/>
      <c r="E24" s="207"/>
      <c r="F24" s="226"/>
      <c r="H24" s="219"/>
      <c r="J24" s="360" t="s">
        <v>62</v>
      </c>
      <c r="K24" s="361"/>
      <c r="L24" s="220" t="s">
        <v>64</v>
      </c>
      <c r="M24" s="282"/>
    </row>
    <row r="25" spans="1:13" ht="12" customHeight="1">
      <c r="A25" s="219"/>
      <c r="C25" s="197" t="s">
        <v>195</v>
      </c>
      <c r="D25" s="202">
        <f>SP1000P200F2100CY</f>
        <v>6019</v>
      </c>
      <c r="E25" s="202">
        <f>SP1000P200F2100</f>
        <v>6232</v>
      </c>
      <c r="F25" s="223">
        <f aca="true" t="shared" si="2" ref="F25:F41">IF(D25=0," ",(E25-D25)/D25)</f>
        <v>0.035</v>
      </c>
      <c r="H25" s="219"/>
      <c r="J25" s="212" t="s">
        <v>252</v>
      </c>
      <c r="K25" s="212" t="s">
        <v>56</v>
      </c>
      <c r="L25" s="220" t="s">
        <v>65</v>
      </c>
      <c r="M25" s="282"/>
    </row>
    <row r="26" spans="1:13" ht="12" customHeight="1">
      <c r="A26" s="219"/>
      <c r="C26" s="197" t="s">
        <v>196</v>
      </c>
      <c r="D26" s="202">
        <f>SP1000P200F2200CY</f>
        <v>0</v>
      </c>
      <c r="E26" s="202">
        <f>SP1000P200F2200</f>
        <v>0</v>
      </c>
      <c r="F26" s="226" t="str">
        <f t="shared" si="2"/>
        <v> </v>
      </c>
      <c r="H26" s="233"/>
      <c r="J26" s="200">
        <v>2016</v>
      </c>
      <c r="K26" s="200">
        <v>2017</v>
      </c>
      <c r="L26" s="221" t="s">
        <v>66</v>
      </c>
      <c r="M26" s="282"/>
    </row>
    <row r="27" spans="1:13" ht="12" customHeight="1">
      <c r="A27" s="219"/>
      <c r="C27" s="197" t="s">
        <v>197</v>
      </c>
      <c r="D27" s="202">
        <f>SP1000P200F2300CY</f>
        <v>0</v>
      </c>
      <c r="E27" s="202">
        <f>SP1000P200F2300</f>
        <v>0</v>
      </c>
      <c r="F27" s="222" t="str">
        <f t="shared" si="2"/>
        <v> </v>
      </c>
      <c r="H27" s="227" t="s">
        <v>210</v>
      </c>
      <c r="I27" s="208"/>
      <c r="J27" s="202">
        <f>SP1000TotalCY</f>
        <v>431171</v>
      </c>
      <c r="K27" s="202">
        <f>SP1000Total</f>
        <v>472702</v>
      </c>
      <c r="L27" s="225">
        <f>IF(J27=0," ",(K27-J27)/J27)</f>
        <v>0.096</v>
      </c>
      <c r="M27" s="282"/>
    </row>
    <row r="28" spans="1:13" ht="12" customHeight="1">
      <c r="A28" s="219"/>
      <c r="C28" s="197" t="s">
        <v>198</v>
      </c>
      <c r="D28" s="202">
        <f>SP1000P200F2400CY</f>
        <v>0</v>
      </c>
      <c r="E28" s="202">
        <f>SP1000P200F2400</f>
        <v>0</v>
      </c>
      <c r="F28" s="222" t="str">
        <f t="shared" si="2"/>
        <v> </v>
      </c>
      <c r="H28" s="227" t="s">
        <v>207</v>
      </c>
      <c r="I28" s="208"/>
      <c r="J28" s="201">
        <f>SP1000ClassSiteProjCY</f>
        <v>12883</v>
      </c>
      <c r="K28" s="201">
        <f>SP1000ClassSiteProj</f>
        <v>41407</v>
      </c>
      <c r="L28" s="225">
        <f aca="true" t="shared" si="3" ref="L28:L35">IF(J28=0," ",(K28-J28)/J28)</f>
        <v>2.214</v>
      </c>
      <c r="M28" s="282"/>
    </row>
    <row r="29" spans="1:13" ht="12" customHeight="1">
      <c r="A29" s="219"/>
      <c r="C29" s="197" t="s">
        <v>199</v>
      </c>
      <c r="D29" s="202">
        <f>SP1000P200F2500CY</f>
        <v>0</v>
      </c>
      <c r="E29" s="202">
        <f>SP1000P200F2500</f>
        <v>0</v>
      </c>
      <c r="F29" s="222" t="str">
        <f t="shared" si="2"/>
        <v> </v>
      </c>
      <c r="H29" s="227" t="s">
        <v>217</v>
      </c>
      <c r="I29" s="208"/>
      <c r="J29" s="201">
        <f>SP1000InstrImpProjCY</f>
        <v>3612</v>
      </c>
      <c r="K29" s="201">
        <f>SP1000InstrImpProj</f>
        <v>3612</v>
      </c>
      <c r="L29" s="225">
        <f t="shared" si="3"/>
        <v>0</v>
      </c>
      <c r="M29" s="282"/>
    </row>
    <row r="30" spans="1:13" ht="12" customHeight="1">
      <c r="A30" s="219"/>
      <c r="C30" s="197" t="s">
        <v>200</v>
      </c>
      <c r="D30" s="202">
        <f>SP1000P200F2600CY</f>
        <v>0</v>
      </c>
      <c r="E30" s="202">
        <f>SP1000P200F2600</f>
        <v>0</v>
      </c>
      <c r="F30" s="222" t="str">
        <f t="shared" si="2"/>
        <v> </v>
      </c>
      <c r="H30" s="227" t="s">
        <v>216</v>
      </c>
      <c r="I30" s="208"/>
      <c r="J30" s="201">
        <f>SP1000StruEngImmProjCY</f>
        <v>0</v>
      </c>
      <c r="K30" s="201">
        <f>SP1000StruEngImmProj</f>
        <v>0</v>
      </c>
      <c r="L30" s="225" t="str">
        <f t="shared" si="3"/>
        <v> </v>
      </c>
      <c r="M30" s="282"/>
    </row>
    <row r="31" spans="1:13" ht="12" customHeight="1">
      <c r="A31" s="219"/>
      <c r="C31" s="197" t="s">
        <v>201</v>
      </c>
      <c r="D31" s="202">
        <f>SP1000P200F2900CY</f>
        <v>0</v>
      </c>
      <c r="E31" s="202">
        <f>SP1000P200F2900</f>
        <v>0</v>
      </c>
      <c r="F31" s="222" t="str">
        <f t="shared" si="2"/>
        <v> </v>
      </c>
      <c r="H31" s="227" t="s">
        <v>148</v>
      </c>
      <c r="I31" s="208"/>
      <c r="J31" s="201">
        <f>SP1000CompInstrProjCY</f>
        <v>0</v>
      </c>
      <c r="K31" s="201">
        <f>SP1000CompInstrProj</f>
        <v>0</v>
      </c>
      <c r="L31" s="225" t="str">
        <f t="shared" si="3"/>
        <v> </v>
      </c>
      <c r="M31" s="282"/>
    </row>
    <row r="32" spans="1:13" ht="12" customHeight="1">
      <c r="A32" s="219"/>
      <c r="B32" s="197" t="s">
        <v>27</v>
      </c>
      <c r="D32" s="202">
        <f>SP1000P200F3000CY</f>
        <v>0</v>
      </c>
      <c r="E32" s="202">
        <f>SP1000P200F3000</f>
        <v>0</v>
      </c>
      <c r="F32" s="222" t="str">
        <f t="shared" si="2"/>
        <v> </v>
      </c>
      <c r="H32" s="227" t="s">
        <v>211</v>
      </c>
      <c r="I32" s="208"/>
      <c r="J32" s="201">
        <f>TotalFederalProjectsCY</f>
        <v>113830</v>
      </c>
      <c r="K32" s="201">
        <f>TotalFederalProjects</f>
        <v>114969</v>
      </c>
      <c r="L32" s="225">
        <f t="shared" si="3"/>
        <v>0.01</v>
      </c>
      <c r="M32" s="282"/>
    </row>
    <row r="33" spans="1:12" ht="12" customHeight="1">
      <c r="A33" s="219"/>
      <c r="B33" s="197" t="s">
        <v>152</v>
      </c>
      <c r="D33" s="202">
        <f>SP1000P200F4000CY</f>
        <v>0</v>
      </c>
      <c r="E33" s="202">
        <f>SP1000P200F4000</f>
        <v>0</v>
      </c>
      <c r="F33" s="222" t="str">
        <f t="shared" si="2"/>
        <v> </v>
      </c>
      <c r="H33" s="227" t="s">
        <v>212</v>
      </c>
      <c r="I33" s="208"/>
      <c r="J33" s="201">
        <f>TotalStateProjectsCY</f>
        <v>0</v>
      </c>
      <c r="K33" s="201">
        <f>TotalStateProjects</f>
        <v>0</v>
      </c>
      <c r="L33" s="225" t="str">
        <f t="shared" si="3"/>
        <v> </v>
      </c>
    </row>
    <row r="34" spans="1:12" ht="12" customHeight="1">
      <c r="A34" s="219"/>
      <c r="B34" s="197" t="s">
        <v>28</v>
      </c>
      <c r="D34" s="202">
        <f>SP1000P200F5000CY</f>
        <v>0</v>
      </c>
      <c r="E34" s="202">
        <f>SP1000P200F5000</f>
        <v>0</v>
      </c>
      <c r="F34" s="222" t="str">
        <f t="shared" si="2"/>
        <v> </v>
      </c>
      <c r="H34" s="227" t="s">
        <v>213</v>
      </c>
      <c r="I34" s="208"/>
      <c r="J34" s="201">
        <f>TotalCapitalAcquisitionsCY</f>
        <v>0</v>
      </c>
      <c r="K34" s="201">
        <f>TotalCapitalAcquisitions</f>
        <v>0</v>
      </c>
      <c r="L34" s="225" t="str">
        <f t="shared" si="3"/>
        <v> </v>
      </c>
    </row>
    <row r="35" spans="1:13" ht="12" customHeight="1">
      <c r="A35" s="219"/>
      <c r="B35" s="197" t="s">
        <v>203</v>
      </c>
      <c r="C35" s="235"/>
      <c r="D35" s="214">
        <f>SUM(D23:D34)</f>
        <v>31741</v>
      </c>
      <c r="E35" s="214">
        <f>SUM(E23:E34)</f>
        <v>32002</v>
      </c>
      <c r="F35" s="222">
        <f t="shared" si="2"/>
        <v>0.008</v>
      </c>
      <c r="H35" s="227" t="s">
        <v>208</v>
      </c>
      <c r="I35" s="208"/>
      <c r="J35" s="201">
        <f>SUM(J27:J34)</f>
        <v>561496</v>
      </c>
      <c r="K35" s="201">
        <f>SUM(K27:K34)</f>
        <v>632690</v>
      </c>
      <c r="L35" s="225">
        <f t="shared" si="3"/>
        <v>0.127</v>
      </c>
      <c r="M35" s="216"/>
    </row>
    <row r="36" spans="1:12" ht="0.75" customHeight="1">
      <c r="A36" s="224" t="s">
        <v>204</v>
      </c>
      <c r="B36" s="199"/>
      <c r="C36" s="205"/>
      <c r="D36" s="202"/>
      <c r="E36" s="202"/>
      <c r="F36" s="223"/>
      <c r="J36" s="296"/>
      <c r="K36" s="296"/>
      <c r="L36" s="296"/>
    </row>
    <row r="37" spans="1:12" ht="12" customHeight="1">
      <c r="A37" s="227" t="s">
        <v>30</v>
      </c>
      <c r="B37" s="208"/>
      <c r="C37" s="209"/>
      <c r="D37" s="201">
        <f>SP1000P400CY</f>
        <v>1067</v>
      </c>
      <c r="E37" s="201">
        <f>SP1000P400</f>
        <v>1110</v>
      </c>
      <c r="F37" s="225">
        <f t="shared" si="2"/>
        <v>0.04</v>
      </c>
      <c r="H37" s="297"/>
      <c r="J37" s="296"/>
      <c r="K37" s="296"/>
      <c r="L37" s="296"/>
    </row>
    <row r="38" spans="1:12" ht="12" customHeight="1">
      <c r="A38" s="227" t="s">
        <v>31</v>
      </c>
      <c r="B38" s="208"/>
      <c r="C38" s="209"/>
      <c r="D38" s="201">
        <f>SP1000P530CY</f>
        <v>0</v>
      </c>
      <c r="E38" s="201">
        <f>SP1000P530</f>
        <v>0</v>
      </c>
      <c r="F38" s="225" t="str">
        <f t="shared" si="2"/>
        <v> </v>
      </c>
      <c r="J38" s="281"/>
      <c r="K38" s="281"/>
      <c r="L38" s="282"/>
    </row>
    <row r="39" spans="1:12" ht="12" customHeight="1">
      <c r="A39" s="227" t="s">
        <v>205</v>
      </c>
      <c r="B39" s="208"/>
      <c r="C39" s="209"/>
      <c r="D39" s="201">
        <f>SP1000P540CY</f>
        <v>0</v>
      </c>
      <c r="E39" s="201">
        <f>SP1000P540</f>
        <v>0</v>
      </c>
      <c r="F39" s="225" t="str">
        <f t="shared" si="2"/>
        <v> </v>
      </c>
      <c r="J39" s="281"/>
      <c r="K39" s="281"/>
      <c r="L39" s="282"/>
    </row>
    <row r="40" spans="1:12" ht="12" customHeight="1">
      <c r="A40" s="224" t="s">
        <v>218</v>
      </c>
      <c r="B40" s="199"/>
      <c r="C40" s="205"/>
      <c r="D40" s="201">
        <f>SP1000P550CY</f>
        <v>0</v>
      </c>
      <c r="E40" s="201">
        <f>SP1000P550</f>
        <v>0</v>
      </c>
      <c r="F40" s="225" t="str">
        <f t="shared" si="2"/>
        <v> </v>
      </c>
      <c r="J40" s="281"/>
      <c r="K40" s="281"/>
      <c r="L40" s="282"/>
    </row>
    <row r="41" spans="1:12" ht="12" customHeight="1">
      <c r="A41" s="224"/>
      <c r="B41" s="199"/>
      <c r="C41" s="205" t="s">
        <v>206</v>
      </c>
      <c r="D41" s="202">
        <f>SUM(D35:D40)+D21</f>
        <v>431171</v>
      </c>
      <c r="E41" s="202">
        <f>SUM(E35:E40)+E21</f>
        <v>472702</v>
      </c>
      <c r="F41" s="225">
        <f t="shared" si="2"/>
        <v>0.096</v>
      </c>
      <c r="J41" s="281"/>
      <c r="K41" s="281"/>
      <c r="L41" s="282"/>
    </row>
    <row r="42" spans="4:12" ht="12" customHeight="1">
      <c r="D42" s="281"/>
      <c r="E42" s="281"/>
      <c r="F42" s="282"/>
      <c r="J42" s="281"/>
      <c r="K42" s="281"/>
      <c r="L42" s="282"/>
    </row>
    <row r="43" spans="10:12" ht="12" customHeight="1">
      <c r="J43" s="281"/>
      <c r="K43" s="281"/>
      <c r="L43" s="282"/>
    </row>
    <row r="44" spans="10:12" ht="12" customHeight="1">
      <c r="J44" s="281"/>
      <c r="K44" s="281"/>
      <c r="L44" s="282"/>
    </row>
    <row r="45" spans="10:12" ht="12" customHeight="1">
      <c r="J45" s="281"/>
      <c r="K45" s="281"/>
      <c r="L45" s="282"/>
    </row>
    <row r="46" spans="10:12" ht="12" customHeight="1">
      <c r="J46" s="281"/>
      <c r="K46" s="281"/>
      <c r="L46" s="282"/>
    </row>
    <row r="47" ht="12" customHeight="1"/>
    <row r="48" ht="12.75" customHeight="1"/>
    <row r="49" ht="12.75" customHeight="1"/>
    <row r="50" ht="12.75" customHeight="1"/>
    <row r="51" ht="12.75" customHeight="1"/>
    <row r="52" ht="12.75" customHeight="1"/>
    <row r="53" spans="8:10" ht="12.75" customHeight="1">
      <c r="H53" s="210"/>
      <c r="J53" s="213"/>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5/16&amp;C&amp;"Arial,Bold"FY 2017&amp;R&amp;"Arial,Bold"Page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24"/>
  <sheetViews>
    <sheetView showGridLines="0" zoomScalePageLayoutView="0" workbookViewId="0" topLeftCell="A1">
      <pane ySplit="1" topLeftCell="A13" activePane="bottomLeft" state="frozen"/>
      <selection pane="topLeft" activeCell="A1" sqref="A1"/>
      <selection pane="bottomLeft" activeCell="C16" sqref="C16"/>
    </sheetView>
  </sheetViews>
  <sheetFormatPr defaultColWidth="9.140625" defaultRowHeight="12.75"/>
  <cols>
    <col min="1" max="1" width="13.00390625" style="245" customWidth="1"/>
    <col min="2" max="2" width="19.57421875" style="247" customWidth="1"/>
    <col min="3" max="3" width="88.7109375" style="246" customWidth="1"/>
    <col min="4" max="4" width="8.8515625" style="246" customWidth="1"/>
  </cols>
  <sheetData>
    <row r="1" spans="1:4" ht="21.75" customHeight="1">
      <c r="A1" s="243" t="s">
        <v>225</v>
      </c>
      <c r="B1" s="244" t="s">
        <v>226</v>
      </c>
      <c r="C1" s="251" t="s">
        <v>242</v>
      </c>
      <c r="D1" s="243"/>
    </row>
    <row r="2" spans="1:6" ht="160.5" customHeight="1">
      <c r="A2" s="264" t="s">
        <v>228</v>
      </c>
      <c r="B2" s="252" t="s">
        <v>227</v>
      </c>
      <c r="C2" s="284" t="s">
        <v>267</v>
      </c>
      <c r="F2" s="246"/>
    </row>
    <row r="3" spans="1:3" ht="44.25" customHeight="1">
      <c r="A3" s="264" t="s">
        <v>228</v>
      </c>
      <c r="B3" s="252" t="s">
        <v>194</v>
      </c>
      <c r="C3" s="284" t="s">
        <v>255</v>
      </c>
    </row>
    <row r="4" spans="1:3" ht="97.5" customHeight="1">
      <c r="A4" s="264" t="s">
        <v>228</v>
      </c>
      <c r="B4" s="252" t="s">
        <v>80</v>
      </c>
      <c r="C4" s="284" t="s">
        <v>283</v>
      </c>
    </row>
    <row r="5" spans="1:3" ht="37.5" customHeight="1">
      <c r="A5" s="264" t="s">
        <v>228</v>
      </c>
      <c r="B5" s="252" t="s">
        <v>247</v>
      </c>
      <c r="C5" s="284" t="s">
        <v>268</v>
      </c>
    </row>
    <row r="6" spans="1:3" ht="102" customHeight="1">
      <c r="A6" s="264">
        <v>1</v>
      </c>
      <c r="B6" s="252" t="s">
        <v>227</v>
      </c>
      <c r="C6" s="284" t="s">
        <v>292</v>
      </c>
    </row>
    <row r="7" spans="1:3" ht="66" customHeight="1">
      <c r="A7" s="264">
        <v>1</v>
      </c>
      <c r="B7" s="252" t="s">
        <v>296</v>
      </c>
      <c r="C7" s="284" t="s">
        <v>297</v>
      </c>
    </row>
    <row r="8" spans="1:3" ht="80.25" customHeight="1">
      <c r="A8" s="264">
        <v>1</v>
      </c>
      <c r="B8" s="252" t="s">
        <v>241</v>
      </c>
      <c r="C8" s="284" t="s">
        <v>293</v>
      </c>
    </row>
    <row r="9" spans="1:3" ht="49.5" customHeight="1">
      <c r="A9" s="264">
        <v>1</v>
      </c>
      <c r="B9" s="252" t="s">
        <v>298</v>
      </c>
      <c r="C9" s="284" t="s">
        <v>299</v>
      </c>
    </row>
    <row r="10" spans="1:3" ht="62.25" customHeight="1">
      <c r="A10" s="264">
        <v>1</v>
      </c>
      <c r="B10" s="252" t="s">
        <v>240</v>
      </c>
      <c r="C10" s="284" t="s">
        <v>270</v>
      </c>
    </row>
    <row r="11" spans="1:3" ht="91.5" customHeight="1">
      <c r="A11" s="264">
        <v>2</v>
      </c>
      <c r="B11" s="252" t="s">
        <v>248</v>
      </c>
      <c r="C11" s="284" t="s">
        <v>300</v>
      </c>
    </row>
    <row r="12" spans="1:3" ht="102" customHeight="1">
      <c r="A12" s="264">
        <v>2</v>
      </c>
      <c r="B12" s="252" t="s">
        <v>213</v>
      </c>
      <c r="C12" s="284" t="s">
        <v>246</v>
      </c>
    </row>
    <row r="13" spans="1:3" ht="66" customHeight="1">
      <c r="A13" s="264">
        <v>2</v>
      </c>
      <c r="B13" s="252" t="s">
        <v>230</v>
      </c>
      <c r="C13" s="284" t="s">
        <v>301</v>
      </c>
    </row>
    <row r="14" spans="1:3" ht="49.5" customHeight="1">
      <c r="A14" s="264">
        <v>2</v>
      </c>
      <c r="B14" s="252" t="s">
        <v>294</v>
      </c>
      <c r="C14" s="284" t="s">
        <v>291</v>
      </c>
    </row>
    <row r="15" spans="1:3" ht="56.25" customHeight="1">
      <c r="A15" s="264">
        <v>2</v>
      </c>
      <c r="B15" s="252" t="s">
        <v>288</v>
      </c>
      <c r="C15" s="284" t="s">
        <v>253</v>
      </c>
    </row>
    <row r="16" spans="1:3" ht="75" customHeight="1">
      <c r="A16" s="264">
        <v>2</v>
      </c>
      <c r="B16" s="252" t="s">
        <v>231</v>
      </c>
      <c r="C16" s="284" t="s">
        <v>302</v>
      </c>
    </row>
    <row r="17" spans="1:3" ht="116.25" customHeight="1">
      <c r="A17" s="264">
        <v>2</v>
      </c>
      <c r="B17" s="252" t="s">
        <v>229</v>
      </c>
      <c r="C17" s="284" t="s">
        <v>269</v>
      </c>
    </row>
    <row r="18" spans="1:3" ht="59.25" customHeight="1">
      <c r="A18" s="264">
        <v>2</v>
      </c>
      <c r="B18" s="252" t="s">
        <v>233</v>
      </c>
      <c r="C18" s="284" t="s">
        <v>232</v>
      </c>
    </row>
    <row r="19" spans="1:3" ht="64.5" customHeight="1">
      <c r="A19" s="264">
        <v>2</v>
      </c>
      <c r="B19" s="252" t="s">
        <v>239</v>
      </c>
      <c r="C19" s="284" t="s">
        <v>243</v>
      </c>
    </row>
    <row r="20" spans="1:3" ht="65.25" customHeight="1">
      <c r="A20" s="264">
        <v>3</v>
      </c>
      <c r="B20" s="252" t="s">
        <v>236</v>
      </c>
      <c r="C20" s="284" t="s">
        <v>276</v>
      </c>
    </row>
    <row r="21" spans="1:3" ht="63.75" customHeight="1">
      <c r="A21" s="264">
        <v>4</v>
      </c>
      <c r="B21" s="252" t="s">
        <v>234</v>
      </c>
      <c r="C21" s="284" t="s">
        <v>245</v>
      </c>
    </row>
    <row r="22" spans="1:3" ht="66" customHeight="1">
      <c r="A22" s="264">
        <v>4</v>
      </c>
      <c r="B22" s="252" t="s">
        <v>235</v>
      </c>
      <c r="C22" s="284" t="s">
        <v>244</v>
      </c>
    </row>
    <row r="23" spans="1:3" ht="25.5">
      <c r="A23" s="278" t="s">
        <v>249</v>
      </c>
      <c r="B23" s="277" t="s">
        <v>227</v>
      </c>
      <c r="C23" s="284" t="s">
        <v>250</v>
      </c>
    </row>
    <row r="24" ht="12.75">
      <c r="C24" s="284"/>
    </row>
  </sheetData>
  <sheetProtection sheet="1"/>
  <hyperlinks>
    <hyperlink ref="A2" location="Cover!A1" display="Cover"/>
    <hyperlink ref="A4" location="Cover!A1" display="Cover"/>
    <hyperlink ref="A6" location="'Page 1'!A1" display="'Page 1'!A1"/>
    <hyperlink ref="A9" location="'Page 1'!A1" display="'Page 1'!A1"/>
    <hyperlink ref="A11" location="'Page 2'!A1" display="'Page 2'!A1"/>
    <hyperlink ref="A12" location="'Page 2'!A1" display="'Page 2'!A1"/>
    <hyperlink ref="A17" location="'Page 2'!A1" display="'Page 2'!A1"/>
    <hyperlink ref="A20" location="'Page 3'!A1" display="'Page 3'!A1"/>
    <hyperlink ref="A21" location="'Page 4'!A1" display="'Page 4'!A1"/>
    <hyperlink ref="A22" location="'Page 4'!A1" display="'Page 4'!A1"/>
    <hyperlink ref="A7" location="'Page 1'!A1" display="'Page 1'!A1"/>
    <hyperlink ref="A8" location="'Page 1'!A1" display="'Page 1'!A1"/>
    <hyperlink ref="A10" location="'Page 1'!A1" display="'Page 1'!A1"/>
    <hyperlink ref="A13" location="'Page 2'!A1" display="'Page 2'!A1"/>
    <hyperlink ref="A15" location="'Page 2'!A1" display="'Page 2'!A1"/>
    <hyperlink ref="A16" location="'Page 2'!A1" display="'Page 2'!A1"/>
    <hyperlink ref="A5" location="Cover!A1" display="Cover"/>
    <hyperlink ref="A3" location="Cover!A1" display="Cover"/>
    <hyperlink ref="A23" location="'Budget Summary'!A1" display="Budget Summary"/>
    <hyperlink ref="A18" location="'Page 2'!A1" display="'Page 2'!A1"/>
    <hyperlink ref="A19" location="'Page 2'!A1" display="'Page 2'!A1"/>
    <hyperlink ref="A14" location="'Page 2'!A1" display="'Page 2'!A1"/>
  </hyperlinks>
  <printOptions/>
  <pageMargins left="0.7" right="0.7" top="0.75" bottom="0.75" header="0.3" footer="0.3"/>
  <pageSetup fitToHeight="1" fitToWidth="1" horizontalDpi="600" verticalDpi="600" orientation="landscape" scale="31" r:id="rId1"/>
  <headerFooter scaleWithDoc="0">
    <oddFooter>&amp;L&amp;"Arial,Bold"Rev. 5/16&amp;C&amp;"Arial,Bold"FY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Jeff Sawner</cp:lastModifiedBy>
  <cp:lastPrinted>2016-06-15T16:40:19Z</cp:lastPrinted>
  <dcterms:created xsi:type="dcterms:W3CDTF">1997-10-08T16:25:08Z</dcterms:created>
  <dcterms:modified xsi:type="dcterms:W3CDTF">2016-06-21T22:24:17Z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2017</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